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taha\Desktop\Logframes\"/>
    </mc:Choice>
  </mc:AlternateContent>
  <bookViews>
    <workbookView xWindow="0" yWindow="0" windowWidth="20490" windowHeight="7230" firstSheet="1" activeTab="1"/>
  </bookViews>
  <sheets>
    <sheet name="Readme" sheetId="29" r:id="rId1"/>
    <sheet name="Summary" sheetId="22" r:id="rId2"/>
    <sheet name="Outcome 1" sheetId="37" r:id="rId3"/>
    <sheet name="Outcome 2" sheetId="39" r:id="rId4"/>
    <sheet name="Outcome 3" sheetId="40" r:id="rId5"/>
    <sheet name="Lh Budgetting" sheetId="38" r:id="rId6"/>
  </sheets>
  <calcPr calcId="152511"/>
</workbook>
</file>

<file path=xl/calcChain.xml><?xml version="1.0" encoding="utf-8"?>
<calcChain xmlns="http://schemas.openxmlformats.org/spreadsheetml/2006/main">
  <c r="E10" i="22" l="1"/>
  <c r="E9" i="22"/>
  <c r="D10" i="22"/>
  <c r="D9" i="22"/>
  <c r="C10" i="22" l="1"/>
  <c r="C9" i="22"/>
  <c r="E8" i="22"/>
  <c r="D8" i="22"/>
  <c r="C8" i="22"/>
  <c r="C25" i="22"/>
  <c r="E25" i="22" s="1"/>
  <c r="K32" i="22"/>
  <c r="H32" i="22"/>
  <c r="E32" i="22"/>
  <c r="K29" i="22"/>
  <c r="H29" i="22"/>
  <c r="E29" i="22"/>
  <c r="J32" i="22"/>
  <c r="G32" i="22"/>
  <c r="D32" i="22"/>
  <c r="J29" i="22"/>
  <c r="G29" i="22"/>
  <c r="D29" i="22"/>
  <c r="I32" i="22"/>
  <c r="F32" i="22"/>
  <c r="C32" i="22"/>
  <c r="I29" i="22"/>
  <c r="F29" i="22"/>
  <c r="C29" i="22"/>
  <c r="I25" i="22"/>
  <c r="K25" i="22" s="1"/>
  <c r="F25" i="22"/>
  <c r="H25" i="22" s="1"/>
  <c r="J25" i="22"/>
  <c r="G25" i="22"/>
  <c r="D25" i="22"/>
  <c r="X35" i="39" l="1"/>
  <c r="W35" i="39"/>
  <c r="V35" i="39"/>
  <c r="U35" i="39"/>
  <c r="T35" i="39"/>
  <c r="T34" i="39"/>
  <c r="T17" i="39"/>
  <c r="T6" i="39"/>
  <c r="T5" i="39"/>
  <c r="CB5" i="37" l="1"/>
  <c r="AV20" i="37" s="1"/>
  <c r="BW5" i="37"/>
  <c r="AU20" i="37" s="1"/>
  <c r="BR5" i="37"/>
  <c r="AT20" i="37" s="1"/>
  <c r="BM5" i="37"/>
  <c r="AS20" i="37" s="1"/>
  <c r="BH5" i="37"/>
  <c r="AR20" i="37" s="1"/>
  <c r="BC5" i="37"/>
  <c r="AQ20" i="37" s="1"/>
  <c r="AX5" i="37"/>
  <c r="AP20" i="37" s="1"/>
  <c r="AS5" i="37"/>
  <c r="AO20" i="37" s="1"/>
  <c r="AA2" i="38" l="1"/>
  <c r="AD3" i="38"/>
  <c r="AC3" i="38"/>
  <c r="AB3" i="38"/>
  <c r="AA3" i="38"/>
  <c r="AJ3" i="38"/>
  <c r="AI3" i="38"/>
  <c r="AH3" i="38"/>
  <c r="AG3" i="38"/>
  <c r="AG2" i="38"/>
  <c r="V1" i="38"/>
  <c r="AE12" i="38"/>
  <c r="AK12" i="38"/>
  <c r="S11" i="38"/>
  <c r="AK20" i="37"/>
  <c r="AJ20" i="37"/>
  <c r="AI20" i="37"/>
  <c r="AH20" i="37"/>
  <c r="AJ4" i="38" l="1"/>
  <c r="AI4" i="38"/>
  <c r="AH4" i="38"/>
  <c r="AG4" i="38"/>
  <c r="AD4" i="38"/>
  <c r="AC4" i="38"/>
  <c r="AB4" i="38"/>
  <c r="AA4" i="38"/>
  <c r="V3" i="38"/>
  <c r="U4" i="38"/>
  <c r="T4" i="38"/>
  <c r="S4" i="38"/>
  <c r="AJ18" i="38"/>
  <c r="AI18" i="38"/>
  <c r="AH18" i="38"/>
  <c r="AG18" i="38"/>
  <c r="AF18" i="38" s="1"/>
  <c r="AD18" i="38"/>
  <c r="AC18" i="38"/>
  <c r="AB18" i="38"/>
  <c r="AA18" i="38"/>
  <c r="Z18" i="38"/>
  <c r="AJ14" i="38"/>
  <c r="AI14" i="38"/>
  <c r="AH14" i="38"/>
  <c r="AG14" i="38"/>
  <c r="AF14" i="38" s="1"/>
  <c r="AJ8" i="38"/>
  <c r="AI8" i="38"/>
  <c r="AH8" i="38"/>
  <c r="AG8" i="38"/>
  <c r="AJ7" i="38"/>
  <c r="AI7" i="38"/>
  <c r="AH7" i="38"/>
  <c r="AG7" i="38"/>
  <c r="AF7" i="38"/>
  <c r="Z7" i="38"/>
  <c r="AD8" i="38"/>
  <c r="AC8" i="38"/>
  <c r="AB8" i="38"/>
  <c r="AA8" i="38"/>
  <c r="AD7" i="38"/>
  <c r="AC7" i="38"/>
  <c r="AB7" i="38"/>
  <c r="AA7" i="38"/>
  <c r="Z6" i="38"/>
  <c r="Q12" i="38"/>
  <c r="P12" i="38"/>
  <c r="P11" i="38"/>
  <c r="Q11" i="38"/>
  <c r="P7" i="38"/>
  <c r="O11" i="38"/>
  <c r="O12" i="38"/>
  <c r="O14" i="38"/>
  <c r="AP42" i="37"/>
  <c r="C11" i="39" l="1"/>
  <c r="D11" i="39"/>
  <c r="E11" i="39"/>
  <c r="C28" i="39"/>
  <c r="D28" i="39"/>
  <c r="E28" i="39"/>
  <c r="W11" i="38" l="1"/>
  <c r="W12" i="38"/>
  <c r="V18" i="38" l="1"/>
  <c r="U18" i="38"/>
  <c r="T18" i="38"/>
  <c r="S18" i="38"/>
  <c r="P9" i="38" l="1"/>
  <c r="P8" i="38"/>
  <c r="P6" i="38"/>
  <c r="N12" i="38"/>
  <c r="DW66" i="37" l="1"/>
  <c r="DR66" i="37"/>
  <c r="DM66" i="37"/>
  <c r="DH66" i="37"/>
  <c r="DC66" i="37"/>
  <c r="CX66" i="37"/>
  <c r="CS66" i="37"/>
  <c r="CN66" i="37"/>
  <c r="CB60" i="37"/>
  <c r="BW60" i="37"/>
  <c r="BR60" i="37"/>
  <c r="BM60" i="37"/>
  <c r="BH60" i="37"/>
  <c r="BC60" i="37"/>
  <c r="AX60" i="37"/>
  <c r="CA59" i="37"/>
  <c r="BZ59" i="37"/>
  <c r="BY59" i="37"/>
  <c r="BX59" i="37"/>
  <c r="BV59" i="37"/>
  <c r="BU59" i="37"/>
  <c r="BT59" i="37"/>
  <c r="BS59" i="37"/>
  <c r="BQ59" i="37"/>
  <c r="BP59" i="37"/>
  <c r="BO59" i="37"/>
  <c r="BN59" i="37"/>
  <c r="BL59" i="37"/>
  <c r="BK59" i="37"/>
  <c r="BJ59" i="37"/>
  <c r="BI59" i="37"/>
  <c r="BG59" i="37"/>
  <c r="BF59" i="37"/>
  <c r="BE59" i="37"/>
  <c r="BD59" i="37"/>
  <c r="BB59" i="37"/>
  <c r="BA59" i="37"/>
  <c r="AZ59" i="37"/>
  <c r="AY59" i="37"/>
  <c r="AW59" i="37"/>
  <c r="AV59" i="37"/>
  <c r="AU59" i="37"/>
  <c r="AT59" i="37"/>
  <c r="AR59" i="37"/>
  <c r="AO59" i="37"/>
  <c r="CM69" i="37"/>
  <c r="CL70" i="37"/>
  <c r="CL71" i="37"/>
  <c r="CL72" i="37"/>
  <c r="CL73" i="37"/>
  <c r="CM73" i="37" s="1"/>
  <c r="CM70" i="37" l="1"/>
  <c r="CM71" i="37"/>
  <c r="CM72" i="37"/>
  <c r="C52" i="37" l="1"/>
  <c r="M60" i="37" s="1"/>
  <c r="L58" i="37"/>
  <c r="K58" i="37"/>
  <c r="J58" i="37"/>
  <c r="I58" i="37"/>
  <c r="I59" i="37" s="1"/>
  <c r="AQ42" i="37"/>
  <c r="CA42" i="37"/>
  <c r="BZ42" i="37"/>
  <c r="BY42" i="37"/>
  <c r="BX42" i="37"/>
  <c r="BV42" i="37"/>
  <c r="BU42" i="37"/>
  <c r="BT42" i="37"/>
  <c r="BS42" i="37"/>
  <c r="BQ42" i="37"/>
  <c r="BP42" i="37"/>
  <c r="BO42" i="37"/>
  <c r="BN42" i="37"/>
  <c r="BL42" i="37"/>
  <c r="BK42" i="37"/>
  <c r="BJ42" i="37"/>
  <c r="BI42" i="37"/>
  <c r="BG42" i="37"/>
  <c r="BF42" i="37"/>
  <c r="BE42" i="37"/>
  <c r="BD42" i="37"/>
  <c r="BB42" i="37"/>
  <c r="BA42" i="37"/>
  <c r="AZ42" i="37"/>
  <c r="AY42" i="37"/>
  <c r="AW42" i="37"/>
  <c r="AV42" i="37"/>
  <c r="AU42" i="37"/>
  <c r="AT42" i="37"/>
  <c r="AR42" i="37"/>
  <c r="AO42" i="37"/>
  <c r="CO35" i="37"/>
  <c r="CO37" i="37" s="1"/>
  <c r="Y3" i="38"/>
  <c r="Y2" i="38"/>
  <c r="N11" i="38"/>
  <c r="U42" i="37"/>
  <c r="L12" i="38"/>
  <c r="V14" i="38"/>
  <c r="U14" i="38"/>
  <c r="T14" i="38"/>
  <c r="S14" i="38"/>
  <c r="R14" i="38" s="1"/>
  <c r="AJ9" i="38"/>
  <c r="AH9" i="38"/>
  <c r="AF9" i="38"/>
  <c r="AI9" i="38" s="1"/>
  <c r="AF8" i="38"/>
  <c r="AF6" i="38"/>
  <c r="Y8" i="38"/>
  <c r="M6" i="38"/>
  <c r="U9" i="38"/>
  <c r="S9" i="38"/>
  <c r="AG9" i="38" s="1"/>
  <c r="M9" i="38"/>
  <c r="T9" i="38" s="1"/>
  <c r="M8" i="38"/>
  <c r="M7" i="38"/>
  <c r="AK34" i="39"/>
  <c r="AP34" i="39"/>
  <c r="AU34" i="39"/>
  <c r="AW34" i="39"/>
  <c r="AZ34" i="39"/>
  <c r="BE34" i="39"/>
  <c r="BJ34" i="39"/>
  <c r="BN17" i="39"/>
  <c r="BN34" i="39" s="1"/>
  <c r="BM17" i="39"/>
  <c r="BM34" i="39" s="1"/>
  <c r="BL17" i="39"/>
  <c r="BL34" i="39" s="1"/>
  <c r="BK17" i="39"/>
  <c r="BK34" i="39" s="1"/>
  <c r="BI17" i="39"/>
  <c r="BI34" i="39" s="1"/>
  <c r="BH17" i="39"/>
  <c r="BH34" i="39" s="1"/>
  <c r="BG17" i="39"/>
  <c r="BG34" i="39" s="1"/>
  <c r="BF17" i="39"/>
  <c r="BF34" i="39" s="1"/>
  <c r="BD17" i="39"/>
  <c r="BD34" i="39" s="1"/>
  <c r="BC17" i="39"/>
  <c r="BC34" i="39" s="1"/>
  <c r="BB17" i="39"/>
  <c r="BB34" i="39" s="1"/>
  <c r="BA17" i="39"/>
  <c r="BA34" i="39" s="1"/>
  <c r="AY17" i="39"/>
  <c r="AY34" i="39" s="1"/>
  <c r="AX17" i="39"/>
  <c r="AX34" i="39" s="1"/>
  <c r="AV17" i="39"/>
  <c r="AV34" i="39" s="1"/>
  <c r="AT17" i="39"/>
  <c r="AT34" i="39" s="1"/>
  <c r="AS17" i="39"/>
  <c r="AS34" i="39" s="1"/>
  <c r="AR17" i="39"/>
  <c r="AR34" i="39" s="1"/>
  <c r="AQ17" i="39"/>
  <c r="AQ34" i="39" s="1"/>
  <c r="AO17" i="39"/>
  <c r="AO34" i="39" s="1"/>
  <c r="AN17" i="39"/>
  <c r="AN34" i="39" s="1"/>
  <c r="AM17" i="39"/>
  <c r="AM34" i="39" s="1"/>
  <c r="AL17" i="39"/>
  <c r="AL34" i="39" s="1"/>
  <c r="AJ17" i="39"/>
  <c r="AJ34" i="39" s="1"/>
  <c r="AI17" i="39"/>
  <c r="AI34" i="39" s="1"/>
  <c r="AH17" i="39"/>
  <c r="AH34" i="39" s="1"/>
  <c r="AG17" i="39"/>
  <c r="AG34" i="39" s="1"/>
  <c r="AE17" i="39"/>
  <c r="AE34" i="39" s="1"/>
  <c r="AB17" i="39"/>
  <c r="AB34" i="39" s="1"/>
  <c r="L17" i="39"/>
  <c r="K17" i="39"/>
  <c r="J17" i="39"/>
  <c r="I17" i="39"/>
  <c r="BN6" i="39"/>
  <c r="BM6" i="39"/>
  <c r="BL6" i="39"/>
  <c r="BK6" i="39"/>
  <c r="BI6" i="39"/>
  <c r="BH6" i="39"/>
  <c r="BG6" i="39"/>
  <c r="BF6" i="39"/>
  <c r="BN5" i="39"/>
  <c r="BM5" i="39"/>
  <c r="BL5" i="39"/>
  <c r="BK5" i="39"/>
  <c r="BI5" i="39"/>
  <c r="BH5" i="39"/>
  <c r="BG5" i="39"/>
  <c r="BF5" i="39"/>
  <c r="BC5" i="39"/>
  <c r="BD6" i="39"/>
  <c r="BC6" i="39"/>
  <c r="BB6" i="39"/>
  <c r="BA6" i="39"/>
  <c r="AY6" i="39"/>
  <c r="AX6" i="39"/>
  <c r="AV6" i="39"/>
  <c r="BD5" i="39"/>
  <c r="BB5" i="39"/>
  <c r="BA5" i="39"/>
  <c r="AY5" i="39"/>
  <c r="AX5" i="39"/>
  <c r="AV5" i="39"/>
  <c r="AQ5" i="39"/>
  <c r="AT6" i="39"/>
  <c r="AS6" i="39"/>
  <c r="AR6" i="39"/>
  <c r="AQ6" i="39"/>
  <c r="AT5" i="39"/>
  <c r="AS5" i="39"/>
  <c r="AR5" i="39"/>
  <c r="AL6" i="39"/>
  <c r="AO6" i="39"/>
  <c r="AN6" i="39"/>
  <c r="AM6" i="39"/>
  <c r="AO5" i="39"/>
  <c r="AN5" i="39"/>
  <c r="AM5" i="39"/>
  <c r="AL5" i="39"/>
  <c r="AG5" i="39"/>
  <c r="AJ6" i="39"/>
  <c r="AI6" i="39"/>
  <c r="AH6" i="39"/>
  <c r="AG6" i="39"/>
  <c r="AJ5" i="39"/>
  <c r="AI5" i="39"/>
  <c r="AH5" i="39"/>
  <c r="AE6" i="39"/>
  <c r="AB6" i="39"/>
  <c r="AE5" i="39"/>
  <c r="AB5" i="39"/>
  <c r="L6" i="39"/>
  <c r="K6" i="39"/>
  <c r="J6" i="39"/>
  <c r="I6" i="39"/>
  <c r="L5" i="39"/>
  <c r="K5" i="39"/>
  <c r="J5" i="39"/>
  <c r="I5" i="39"/>
  <c r="Q18" i="38"/>
  <c r="P18" i="38"/>
  <c r="L11" i="38" l="1"/>
  <c r="M11" i="38" s="1"/>
  <c r="D35" i="37"/>
  <c r="C35" i="37"/>
  <c r="E35" i="37"/>
  <c r="R9" i="38"/>
  <c r="Q9" i="38" l="1"/>
  <c r="O9" i="38"/>
  <c r="Q8" i="38"/>
  <c r="O8" i="38"/>
  <c r="Q7" i="38"/>
  <c r="O7" i="38"/>
  <c r="O6" i="38"/>
  <c r="Q6" i="38"/>
  <c r="L14" i="38"/>
  <c r="G18" i="38"/>
  <c r="O18" i="38" s="1"/>
  <c r="Q23" i="38"/>
  <c r="Q24" i="38"/>
  <c r="Q21" i="38" l="1"/>
  <c r="E14" i="37"/>
  <c r="L18" i="38"/>
  <c r="C14" i="37"/>
  <c r="I27" i="22"/>
  <c r="M18" i="38" l="1"/>
  <c r="M14" i="38"/>
  <c r="N8" i="38" l="1"/>
  <c r="Z8" i="38"/>
  <c r="N9" i="38"/>
  <c r="Z9" i="38"/>
  <c r="N6" i="38"/>
  <c r="N7" i="38"/>
  <c r="BN35" i="39"/>
  <c r="BM35" i="39"/>
  <c r="BL35" i="39"/>
  <c r="BK35" i="39"/>
  <c r="BI35" i="39"/>
  <c r="BH35" i="39"/>
  <c r="BG35" i="39"/>
  <c r="BF35" i="39"/>
  <c r="BD35" i="39"/>
  <c r="BC35" i="39"/>
  <c r="BB35" i="39"/>
  <c r="BA35" i="39"/>
  <c r="AY35" i="39"/>
  <c r="AX35" i="39"/>
  <c r="AV35" i="39"/>
  <c r="AT35" i="39"/>
  <c r="AS35" i="39"/>
  <c r="AR35" i="39"/>
  <c r="AQ35" i="39"/>
  <c r="AO35" i="39"/>
  <c r="AN35" i="39"/>
  <c r="AM35" i="39"/>
  <c r="AL35" i="39"/>
  <c r="AJ35" i="39"/>
  <c r="AI35" i="39"/>
  <c r="AH35" i="39"/>
  <c r="AG35" i="39"/>
  <c r="AE35" i="39"/>
  <c r="AB35" i="39"/>
  <c r="L35" i="39"/>
  <c r="R35" i="39" s="1"/>
  <c r="K35" i="39"/>
  <c r="Q35" i="39" s="1"/>
  <c r="J35" i="39"/>
  <c r="P35" i="39" s="1"/>
  <c r="I35" i="39"/>
  <c r="O35" i="39" s="1"/>
  <c r="H36" i="39"/>
  <c r="N17" i="39"/>
  <c r="N6" i="39"/>
  <c r="N5" i="39"/>
  <c r="DW69" i="37"/>
  <c r="DV73" i="37"/>
  <c r="DV72" i="37"/>
  <c r="DV71" i="37"/>
  <c r="DV70" i="37"/>
  <c r="DR69" i="37"/>
  <c r="DQ73" i="37"/>
  <c r="DQ72" i="37"/>
  <c r="DQ71" i="37"/>
  <c r="DQ70" i="37"/>
  <c r="DM69" i="37"/>
  <c r="DL73" i="37"/>
  <c r="DL72" i="37"/>
  <c r="DL71" i="37"/>
  <c r="DL70" i="37"/>
  <c r="DH70" i="37"/>
  <c r="DG74" i="37"/>
  <c r="DG73" i="37"/>
  <c r="DG72" i="37"/>
  <c r="DG71" i="37"/>
  <c r="DC69" i="37"/>
  <c r="DB73" i="37"/>
  <c r="DB72" i="37"/>
  <c r="DB71" i="37"/>
  <c r="DB70" i="37"/>
  <c r="CX69" i="37"/>
  <c r="CW73" i="37"/>
  <c r="CW72" i="37"/>
  <c r="CW71" i="37"/>
  <c r="CW70" i="37"/>
  <c r="CR70" i="37"/>
  <c r="CS69" i="37"/>
  <c r="CR73" i="37"/>
  <c r="CR72" i="37"/>
  <c r="CR71" i="37"/>
  <c r="DM73" i="37" l="1"/>
  <c r="CS73" i="37"/>
  <c r="DR73" i="37"/>
  <c r="CX73" i="37"/>
  <c r="DC73" i="37"/>
  <c r="CX70" i="37"/>
  <c r="DH74" i="37"/>
  <c r="DW73" i="37"/>
  <c r="AA6" i="38"/>
  <c r="Z10" i="38"/>
  <c r="AD9" i="38"/>
  <c r="AC9" i="38"/>
  <c r="AB9" i="38"/>
  <c r="AA9" i="38"/>
  <c r="D14" i="37"/>
  <c r="F26" i="22" s="1"/>
  <c r="N35" i="39"/>
  <c r="DW70" i="37"/>
  <c r="DW72" i="37"/>
  <c r="DW71" i="37"/>
  <c r="DR70" i="37"/>
  <c r="DR72" i="37"/>
  <c r="DR71" i="37"/>
  <c r="DM70" i="37"/>
  <c r="DM72" i="37"/>
  <c r="DM71" i="37"/>
  <c r="DH71" i="37"/>
  <c r="DH73" i="37"/>
  <c r="DH72" i="37"/>
  <c r="DC70" i="37"/>
  <c r="DC72" i="37"/>
  <c r="DC71" i="37"/>
  <c r="CX72" i="37"/>
  <c r="CX71" i="37"/>
  <c r="CS70" i="37"/>
  <c r="CS72" i="37"/>
  <c r="CS71" i="37"/>
  <c r="CJ20" i="37" l="1"/>
  <c r="CJ19" i="37"/>
  <c r="CJ18" i="37"/>
  <c r="CJ17" i="37"/>
  <c r="CJ16" i="37"/>
  <c r="CJ15" i="37"/>
  <c r="CJ14" i="37"/>
  <c r="CJ13" i="37"/>
  <c r="I34" i="22" l="1"/>
  <c r="I33" i="22"/>
  <c r="I31" i="22"/>
  <c r="I30" i="22"/>
  <c r="I26" i="22"/>
  <c r="O24" i="38"/>
  <c r="P24" i="38"/>
  <c r="O23" i="38"/>
  <c r="P23" i="38"/>
  <c r="F34" i="22"/>
  <c r="F33" i="22"/>
  <c r="C34" i="22"/>
  <c r="C33" i="22"/>
  <c r="F31" i="22"/>
  <c r="F30" i="22"/>
  <c r="C31" i="22"/>
  <c r="C30" i="22"/>
  <c r="F27" i="22"/>
  <c r="C27" i="22"/>
  <c r="C26" i="22"/>
  <c r="V58" i="37"/>
  <c r="W58" i="37"/>
  <c r="W59" i="37" s="1"/>
  <c r="U58" i="37"/>
  <c r="U59" i="37" s="1"/>
  <c r="P58" i="37"/>
  <c r="Q58" i="37"/>
  <c r="O58" i="37"/>
  <c r="R58" i="37"/>
  <c r="X58" i="37" l="1"/>
  <c r="X59" i="37" s="1"/>
  <c r="N58" i="37"/>
  <c r="T58" i="37"/>
  <c r="N24" i="38"/>
  <c r="V59" i="37"/>
  <c r="AG5" i="38"/>
  <c r="AH5" i="38"/>
  <c r="AI5" i="38"/>
  <c r="AJ5" i="38"/>
  <c r="AI6" i="38"/>
  <c r="AJ6" i="38"/>
  <c r="AG6" i="38"/>
  <c r="AF10" i="38" l="1"/>
  <c r="J14" i="38" l="1"/>
  <c r="Q14" i="38" l="1"/>
  <c r="P14" i="38"/>
  <c r="P4" i="38" s="1"/>
  <c r="R18" i="38"/>
  <c r="P59" i="37"/>
  <c r="Q59" i="37"/>
  <c r="R59" i="37"/>
  <c r="O59" i="37"/>
  <c r="K59" i="37"/>
  <c r="L59" i="37"/>
  <c r="J59" i="37"/>
  <c r="E52" i="37" l="1"/>
  <c r="Y60" i="37" s="1"/>
  <c r="Q4" i="38"/>
  <c r="Q3" i="38" s="1"/>
  <c r="D52" i="37"/>
  <c r="S60" i="37" s="1"/>
  <c r="N14" i="38"/>
  <c r="N59" i="37"/>
  <c r="N60" i="37"/>
  <c r="C28" i="22"/>
  <c r="T59" i="37"/>
  <c r="CK55" i="37" l="1"/>
  <c r="AS60" i="37" s="1"/>
  <c r="T60" i="37"/>
  <c r="F28" i="22"/>
  <c r="I28" i="22"/>
  <c r="S6" i="38" l="1"/>
  <c r="R6" i="38" s="1"/>
  <c r="M21" i="38" l="1"/>
  <c r="L34" i="39" l="1"/>
  <c r="K34" i="39"/>
  <c r="J34" i="39"/>
  <c r="I34" i="39"/>
  <c r="N34" i="39" l="1"/>
  <c r="O16" i="38"/>
  <c r="M13" i="38" l="1"/>
  <c r="T8" i="38"/>
  <c r="T7" i="38"/>
  <c r="S7" i="38"/>
  <c r="T10" i="38" l="1"/>
  <c r="M12" i="38"/>
  <c r="O4" i="38"/>
  <c r="S8" i="38"/>
  <c r="V8" i="38"/>
  <c r="U8" i="38"/>
  <c r="U7" i="38"/>
  <c r="V7" i="38"/>
  <c r="M5" i="37" l="1"/>
  <c r="AB10" i="38"/>
  <c r="AA10" i="38"/>
  <c r="U10" i="38"/>
  <c r="V10" i="38"/>
  <c r="AH10" i="38"/>
  <c r="S10" i="38"/>
  <c r="T12" i="38"/>
  <c r="U12" i="38"/>
  <c r="CQ35" i="37" s="1"/>
  <c r="CQ37" i="37" s="1"/>
  <c r="V12" i="38"/>
  <c r="CP35" i="37" s="1"/>
  <c r="S12" i="38"/>
  <c r="CR35" i="37" s="1"/>
  <c r="CR37" i="37" s="1"/>
  <c r="R8" i="38"/>
  <c r="R7" i="38"/>
  <c r="CP37" i="37" l="1"/>
  <c r="CS35" i="37"/>
  <c r="P20" i="37"/>
  <c r="BS5" i="37" s="1"/>
  <c r="AI10" i="38"/>
  <c r="E17" i="22" s="1"/>
  <c r="N5" i="37"/>
  <c r="D14" i="22"/>
  <c r="O5" i="37"/>
  <c r="E14" i="22"/>
  <c r="Q5" i="37"/>
  <c r="Q20" i="37" s="1"/>
  <c r="U5" i="37"/>
  <c r="R20" i="37" s="1"/>
  <c r="D15" i="22"/>
  <c r="AC10" i="38"/>
  <c r="AJ10" i="38"/>
  <c r="AG10" i="38"/>
  <c r="Z5" i="37"/>
  <c r="AB20" i="37" s="1"/>
  <c r="Y5" i="37"/>
  <c r="W10" i="38"/>
  <c r="AD10" i="38"/>
  <c r="AT5" i="37" l="1"/>
  <c r="BX5" i="37"/>
  <c r="BN5" i="37"/>
  <c r="BI5" i="37"/>
  <c r="BD5" i="37"/>
  <c r="I5" i="37"/>
  <c r="AO5" i="37"/>
  <c r="AY5" i="37"/>
  <c r="Y20" i="37"/>
  <c r="W5" i="37"/>
  <c r="S5" i="37"/>
  <c r="E16" i="22"/>
  <c r="V5" i="37"/>
  <c r="AA20" i="37" s="1"/>
  <c r="D17" i="22"/>
  <c r="R5" i="37"/>
  <c r="Z20" i="37" s="1"/>
  <c r="D16" i="22"/>
  <c r="BT5" i="37"/>
  <c r="BY5" i="37"/>
  <c r="BE5" i="37"/>
  <c r="AP5" i="37"/>
  <c r="BJ5" i="37"/>
  <c r="BO5" i="37"/>
  <c r="AU5" i="37"/>
  <c r="AZ5" i="37"/>
  <c r="BZ5" i="37"/>
  <c r="BF5" i="37"/>
  <c r="BK5" i="37"/>
  <c r="AQ5" i="37"/>
  <c r="AV5" i="37"/>
  <c r="BP5" i="37"/>
  <c r="BU5" i="37"/>
  <c r="BA5" i="37"/>
  <c r="AA5" i="37"/>
  <c r="CE16" i="37" s="1"/>
  <c r="E15" i="22"/>
  <c r="S20" i="37"/>
  <c r="P21" i="38"/>
  <c r="O21" i="38"/>
  <c r="O3" i="38" s="1"/>
  <c r="N23" i="38"/>
  <c r="N21" i="38" s="1"/>
  <c r="D13" i="22" l="1"/>
  <c r="K5" i="37"/>
  <c r="K20" i="37" s="1"/>
  <c r="J5" i="37"/>
  <c r="J20" i="37"/>
  <c r="I20" i="37"/>
  <c r="X20" i="37" s="1"/>
  <c r="BL5" i="37"/>
  <c r="BQ5" i="37"/>
  <c r="AW5" i="37"/>
  <c r="AR5" i="37"/>
  <c r="BV5" i="37"/>
  <c r="BB5" i="37"/>
  <c r="CA5" i="37"/>
  <c r="BG5" i="37"/>
  <c r="BP20" i="37" l="1"/>
  <c r="BL20" i="37"/>
  <c r="BO20" i="37"/>
  <c r="BK20" i="37"/>
  <c r="BN20" i="37"/>
  <c r="BJ20" i="37"/>
  <c r="BQ20" i="37"/>
  <c r="BM20" i="37"/>
  <c r="BF20" i="37"/>
  <c r="BB20" i="37"/>
  <c r="BE20" i="37"/>
  <c r="BA20" i="37"/>
  <c r="BG20" i="37"/>
  <c r="BC20" i="37"/>
  <c r="BD20" i="37"/>
  <c r="AZ20" i="37"/>
  <c r="AG20" i="37"/>
  <c r="CL25" i="37" l="1"/>
  <c r="CL22" i="37"/>
  <c r="CL24" i="37"/>
  <c r="CL23" i="37"/>
  <c r="U11" i="38"/>
  <c r="T11" i="38"/>
  <c r="V11" i="38"/>
  <c r="S3" i="38" l="1"/>
  <c r="Y6" i="38"/>
  <c r="T3" i="38"/>
  <c r="C14" i="22"/>
  <c r="V4" i="38"/>
  <c r="C17" i="22"/>
  <c r="U3" i="38"/>
  <c r="L42" i="37"/>
  <c r="CR36" i="37"/>
  <c r="CR38" i="37" s="1"/>
  <c r="CO36" i="37"/>
  <c r="I42" i="37"/>
  <c r="C16" i="22"/>
  <c r="CP36" i="37"/>
  <c r="CP38" i="37" s="1"/>
  <c r="J42" i="37"/>
  <c r="K42" i="37"/>
  <c r="CQ36" i="37"/>
  <c r="CQ38" i="37" s="1"/>
  <c r="CO38" i="37" l="1"/>
  <c r="CS36" i="37"/>
  <c r="S2" i="38"/>
  <c r="B17" i="22"/>
  <c r="O42" i="37"/>
  <c r="W1" i="38"/>
  <c r="C15" i="22"/>
  <c r="C13" i="22" s="1"/>
  <c r="B16" i="22"/>
  <c r="B14" i="22"/>
  <c r="B15" i="22" l="1"/>
  <c r="Q16" i="38"/>
  <c r="P16" i="38"/>
  <c r="P3" i="38" s="1"/>
  <c r="E13" i="22" l="1"/>
  <c r="B13" i="22" s="1"/>
  <c r="N18" i="38"/>
</calcChain>
</file>

<file path=xl/comments1.xml><?xml version="1.0" encoding="utf-8"?>
<comments xmlns="http://schemas.openxmlformats.org/spreadsheetml/2006/main">
  <authors>
    <author>Anita</author>
  </authors>
  <commentList>
    <comment ref="A1" authorId="0" shapeId="0">
      <text>
        <r>
          <rPr>
            <b/>
            <sz val="9"/>
            <color indexed="81"/>
            <rFont val="Tahoma"/>
            <family val="2"/>
          </rPr>
          <t>Anita:</t>
        </r>
        <r>
          <rPr>
            <sz val="9"/>
            <color indexed="81"/>
            <rFont val="Tahoma"/>
            <family val="2"/>
          </rPr>
          <t xml:space="preserve">
The outcome is the change that results from the implementation of interventions. Hence it is not an action. Outcome is very broad, covers too much and some aspects such as protecting women and youth from shocks will be difficult to measure. Suggest reformulating as follows: Local economic development and market systems stimulated to create income generating opportunities and employment. </t>
        </r>
      </text>
    </comment>
  </commentList>
</comments>
</file>

<file path=xl/comments2.xml><?xml version="1.0" encoding="utf-8"?>
<comments xmlns="http://schemas.openxmlformats.org/spreadsheetml/2006/main">
  <authors>
    <author>Bastien Revel</author>
  </authors>
  <commentList>
    <comment ref="J6" authorId="0" shapeId="0">
      <text>
        <r>
          <rPr>
            <b/>
            <sz val="9"/>
            <color indexed="81"/>
            <rFont val="Tahoma"/>
            <family val="2"/>
          </rPr>
          <t>Bastien Revel:</t>
        </r>
        <r>
          <rPr>
            <sz val="9"/>
            <color indexed="81"/>
            <rFont val="Tahoma"/>
            <family val="2"/>
          </rPr>
          <t xml:space="preserve">
AlMajmoua &amp; IRC</t>
        </r>
      </text>
    </comment>
    <comment ref="J7" authorId="0" shapeId="0">
      <text>
        <r>
          <rPr>
            <b/>
            <sz val="9"/>
            <color indexed="81"/>
            <rFont val="Tahoma"/>
            <family val="2"/>
          </rPr>
          <t>Bastien Revel:</t>
        </r>
        <r>
          <rPr>
            <sz val="9"/>
            <color indexed="81"/>
            <rFont val="Tahoma"/>
            <family val="2"/>
          </rPr>
          <t xml:space="preserve">
Mercy Corps, UNDP</t>
        </r>
      </text>
    </comment>
    <comment ref="M7" authorId="0" shapeId="0">
      <text>
        <r>
          <rPr>
            <b/>
            <sz val="9"/>
            <color indexed="81"/>
            <rFont val="Tahoma"/>
            <family val="2"/>
          </rPr>
          <t>Bastien Revel:</t>
        </r>
        <r>
          <rPr>
            <sz val="9"/>
            <color indexed="81"/>
            <rFont val="Tahoma"/>
            <family val="2"/>
          </rPr>
          <t xml:space="preserve">
70/30</t>
        </r>
      </text>
    </comment>
    <comment ref="M8" authorId="0" shapeId="0">
      <text>
        <r>
          <rPr>
            <b/>
            <sz val="9"/>
            <color indexed="81"/>
            <rFont val="Tahoma"/>
            <family val="2"/>
          </rPr>
          <t>Bastien Revel:</t>
        </r>
        <r>
          <rPr>
            <sz val="9"/>
            <color indexed="81"/>
            <rFont val="Tahoma"/>
            <family val="2"/>
          </rPr>
          <t xml:space="preserve">
70/30</t>
        </r>
      </text>
    </comment>
    <comment ref="J9" authorId="0" shapeId="0">
      <text>
        <r>
          <rPr>
            <b/>
            <sz val="9"/>
            <color indexed="81"/>
            <rFont val="Tahoma"/>
            <family val="2"/>
          </rPr>
          <t>Bastien Revel:</t>
        </r>
        <r>
          <rPr>
            <sz val="9"/>
            <color indexed="81"/>
            <rFont val="Tahoma"/>
            <family val="2"/>
          </rPr>
          <t xml:space="preserve">
Mercy Corps, UNDP</t>
        </r>
      </text>
    </comment>
    <comment ref="M9" authorId="0" shapeId="0">
      <text>
        <r>
          <rPr>
            <b/>
            <sz val="9"/>
            <color indexed="81"/>
            <rFont val="Tahoma"/>
            <family val="2"/>
          </rPr>
          <t>Bastien Revel:</t>
        </r>
        <r>
          <rPr>
            <sz val="9"/>
            <color indexed="81"/>
            <rFont val="Tahoma"/>
            <family val="2"/>
          </rPr>
          <t xml:space="preserve">
50-50</t>
        </r>
      </text>
    </comment>
    <comment ref="J11" authorId="0" shapeId="0">
      <text>
        <r>
          <rPr>
            <b/>
            <sz val="9"/>
            <color indexed="81"/>
            <rFont val="Tahoma"/>
            <family val="2"/>
          </rPr>
          <t>Bastien Revel:</t>
        </r>
        <r>
          <rPr>
            <sz val="9"/>
            <color indexed="81"/>
            <rFont val="Tahoma"/>
            <family val="2"/>
          </rPr>
          <t xml:space="preserve">
ILO</t>
        </r>
      </text>
    </comment>
    <comment ref="M11" authorId="0" shapeId="0">
      <text>
        <r>
          <rPr>
            <b/>
            <sz val="9"/>
            <color indexed="81"/>
            <rFont val="Tahoma"/>
            <family val="2"/>
          </rPr>
          <t>Bastien Revel:</t>
        </r>
        <r>
          <rPr>
            <sz val="9"/>
            <color indexed="81"/>
            <rFont val="Tahoma"/>
            <family val="2"/>
          </rPr>
          <t xml:space="preserve">
50/50</t>
        </r>
      </text>
    </comment>
    <comment ref="M12" authorId="0" shapeId="0">
      <text>
        <r>
          <rPr>
            <b/>
            <sz val="9"/>
            <color indexed="81"/>
            <rFont val="Tahoma"/>
            <family val="2"/>
          </rPr>
          <t>Bastien Revel:</t>
        </r>
        <r>
          <rPr>
            <sz val="9"/>
            <color indexed="81"/>
            <rFont val="Tahoma"/>
            <family val="2"/>
          </rPr>
          <t xml:space="preserve">
70/30</t>
        </r>
      </text>
    </comment>
    <comment ref="J14" authorId="0" shapeId="0">
      <text>
        <r>
          <rPr>
            <b/>
            <sz val="9"/>
            <color indexed="81"/>
            <rFont val="Tahoma"/>
            <family val="2"/>
          </rPr>
          <t>Bastien Revel:</t>
        </r>
        <r>
          <rPr>
            <sz val="9"/>
            <color indexed="81"/>
            <rFont val="Tahoma"/>
            <family val="2"/>
          </rPr>
          <t xml:space="preserve">
all to check. </t>
        </r>
      </text>
    </comment>
    <comment ref="M14" authorId="0" shapeId="0">
      <text>
        <r>
          <rPr>
            <b/>
            <sz val="9"/>
            <color indexed="81"/>
            <rFont val="Tahoma"/>
            <family val="2"/>
          </rPr>
          <t>Bastien Revel:</t>
        </r>
        <r>
          <rPr>
            <sz val="9"/>
            <color indexed="81"/>
            <rFont val="Tahoma"/>
            <family val="2"/>
          </rPr>
          <t xml:space="preserve">
50-50
workmen days</t>
        </r>
      </text>
    </comment>
    <comment ref="F16" authorId="0" shapeId="0">
      <text>
        <r>
          <rPr>
            <b/>
            <sz val="9"/>
            <color indexed="81"/>
            <rFont val="Tahoma"/>
            <family val="2"/>
          </rPr>
          <t>Bastien Revel:</t>
        </r>
        <r>
          <rPr>
            <sz val="9"/>
            <color indexed="81"/>
            <rFont val="Tahoma"/>
            <family val="2"/>
          </rPr>
          <t xml:space="preserve">
70/30</t>
        </r>
      </text>
    </comment>
    <comment ref="I16" authorId="0" shapeId="0">
      <text>
        <r>
          <rPr>
            <b/>
            <sz val="9"/>
            <color indexed="81"/>
            <rFont val="Tahoma"/>
            <family val="2"/>
          </rPr>
          <t>Bastien Revel:</t>
        </r>
        <r>
          <rPr>
            <sz val="9"/>
            <color indexed="81"/>
            <rFont val="Tahoma"/>
            <family val="2"/>
          </rPr>
          <t xml:space="preserve">
IRC, UNDP</t>
        </r>
      </text>
    </comment>
    <comment ref="F18" authorId="0" shapeId="0">
      <text>
        <r>
          <rPr>
            <b/>
            <sz val="9"/>
            <color indexed="81"/>
            <rFont val="Tahoma"/>
            <family val="2"/>
          </rPr>
          <t>Bastien Revel:</t>
        </r>
        <r>
          <rPr>
            <sz val="9"/>
            <color indexed="81"/>
            <rFont val="Tahoma"/>
            <family val="2"/>
          </rPr>
          <t xml:space="preserve">
70/30</t>
        </r>
      </text>
    </comment>
    <comment ref="I18" authorId="0" shapeId="0">
      <text>
        <r>
          <rPr>
            <b/>
            <sz val="9"/>
            <color indexed="81"/>
            <rFont val="Tahoma"/>
            <family val="2"/>
          </rPr>
          <t>Bastien Revel:</t>
        </r>
        <r>
          <rPr>
            <sz val="9"/>
            <color indexed="81"/>
            <rFont val="Tahoma"/>
            <family val="2"/>
          </rPr>
          <t xml:space="preserve">
IRC, UNDP</t>
        </r>
      </text>
    </comment>
    <comment ref="J21" authorId="0" shapeId="0">
      <text>
        <r>
          <rPr>
            <b/>
            <sz val="9"/>
            <color indexed="81"/>
            <rFont val="Tahoma"/>
            <family val="2"/>
          </rPr>
          <t>Bastien Revel:</t>
        </r>
        <r>
          <rPr>
            <sz val="9"/>
            <color indexed="81"/>
            <rFont val="Tahoma"/>
            <family val="2"/>
          </rPr>
          <t xml:space="preserve">
ILO</t>
        </r>
      </text>
    </comment>
    <comment ref="M24" authorId="0" shapeId="0">
      <text>
        <r>
          <rPr>
            <b/>
            <sz val="9"/>
            <color indexed="81"/>
            <rFont val="Tahoma"/>
            <family val="2"/>
          </rPr>
          <t>Bastien Revel:</t>
        </r>
        <r>
          <rPr>
            <sz val="9"/>
            <color indexed="81"/>
            <rFont val="Tahoma"/>
            <family val="2"/>
          </rPr>
          <t xml:space="preserve">
from last year</t>
        </r>
      </text>
    </comment>
    <comment ref="N24" authorId="0" shapeId="0">
      <text>
        <r>
          <rPr>
            <b/>
            <sz val="9"/>
            <color indexed="81"/>
            <rFont val="Tahoma"/>
            <family val="2"/>
          </rPr>
          <t>Bastien Revel:</t>
        </r>
        <r>
          <rPr>
            <sz val="9"/>
            <color indexed="81"/>
            <rFont val="Tahoma"/>
            <family val="2"/>
          </rPr>
          <t xml:space="preserve">
from last year</t>
        </r>
      </text>
    </comment>
  </commentList>
</comments>
</file>

<file path=xl/sharedStrings.xml><?xml version="1.0" encoding="utf-8"?>
<sst xmlns="http://schemas.openxmlformats.org/spreadsheetml/2006/main" count="1231" uniqueCount="364">
  <si>
    <t>Frequency</t>
  </si>
  <si>
    <t>List below indicators used to evaluate the impact of programmes under outcome 1 i.e. measure Outcome 1</t>
  </si>
  <si>
    <t>Definition / Description</t>
  </si>
  <si>
    <t>Syrians</t>
  </si>
  <si>
    <t>Leb</t>
  </si>
  <si>
    <t>Indicator ID</t>
  </si>
  <si>
    <t>Outcome Indicators</t>
  </si>
  <si>
    <t>Output Indicator</t>
  </si>
  <si>
    <t>Budget</t>
  </si>
  <si>
    <t>Unit</t>
  </si>
  <si>
    <t>Akkar</t>
  </si>
  <si>
    <t>Baalbek-Hermel</t>
  </si>
  <si>
    <t>Beirut</t>
  </si>
  <si>
    <t>Bekaa</t>
  </si>
  <si>
    <t>Nabatiyeh</t>
  </si>
  <si>
    <t>North</t>
  </si>
  <si>
    <t>South</t>
  </si>
  <si>
    <t>A</t>
  </si>
  <si>
    <t>B</t>
  </si>
  <si>
    <t>C</t>
  </si>
  <si>
    <t>SYR</t>
  </si>
  <si>
    <t>LEB</t>
  </si>
  <si>
    <t>Mount Lebanon</t>
  </si>
  <si>
    <t>% Humanitarian</t>
  </si>
  <si>
    <t>% Stabilization</t>
  </si>
  <si>
    <t>Output Budget (USD)</t>
  </si>
  <si>
    <t>All Population</t>
  </si>
  <si>
    <t>PRL</t>
  </si>
  <si>
    <t>PRS</t>
  </si>
  <si>
    <t>Vulnerable Lebanese</t>
  </si>
  <si>
    <t>Persons Displaced from Syria</t>
  </si>
  <si>
    <t>In Need (persons)</t>
  </si>
  <si>
    <t>Means of Verification ( how to measure and who is responsible )</t>
  </si>
  <si>
    <t>Target 2018</t>
  </si>
  <si>
    <t>INST</t>
  </si>
  <si>
    <t>Institutions (List them)</t>
  </si>
  <si>
    <t xml:space="preserve">Budget </t>
  </si>
  <si>
    <t xml:space="preserve">1. Please place each Outcome on a separate Sheet within the same workbook. </t>
  </si>
  <si>
    <t>2. Please use excel formulas to sum up the budgets and % Humanitarian/Stabilization</t>
  </si>
  <si>
    <t>4. For institutions, you can modify the column headings and add as many columns as necessary; 1 colum per institution. Ex: School, Municipalities, SDCs , Water establishments, central ministries, etc…</t>
  </si>
  <si>
    <t>Coordinating Agency</t>
  </si>
  <si>
    <t>Contact Information</t>
  </si>
  <si>
    <t>5. Please make sure to update the document version on the summary page, Cell B1</t>
  </si>
  <si>
    <t>Target 2020</t>
  </si>
  <si>
    <t>List below indicators used to measure Output 1.1</t>
  </si>
  <si>
    <t>List below indicators used to measure Output 1.2</t>
  </si>
  <si>
    <t>Means of Verification ( how to measure and who is responsible, tools used )</t>
  </si>
  <si>
    <t>ex:Quarterly</t>
  </si>
  <si>
    <t>List Activities under this output 1.2</t>
  </si>
  <si>
    <t>List Activities under this output 1.1</t>
  </si>
  <si>
    <t>project reports from partners based on follow up individually (by phone or through visit) with all supported businesses after the support (grant, training) has been provided , 3 to 6 months after the support to the business ended.</t>
  </si>
  <si>
    <t>#</t>
  </si>
  <si>
    <t>Quarterly</t>
  </si>
  <si>
    <t>Bi-yearly</t>
  </si>
  <si>
    <t xml:space="preserve">As per MoET SME strategy: Micro-entreprises are below 10 employees, below LBP 500mn annual turn over. SMEs are between 10 and 100 employees, LBP 500Mn to 25Bn annual turnover.
Established means operational with income being accrued. </t>
  </si>
  <si>
    <t># jobs</t>
  </si>
  <si>
    <t># new business</t>
  </si>
  <si>
    <t>N/A</t>
  </si>
  <si>
    <t>MicroBsn
(1 job av.)</t>
  </si>
  <si>
    <t>SME
(2.5 job av)</t>
  </si>
  <si>
    <t>Startup
(3job av.)</t>
  </si>
  <si>
    <t>Coop
(5job av)</t>
  </si>
  <si>
    <t xml:space="preserve">Activity 1: Provision of business management training and business development services including marketing, book keeping, working conditions, accounting, legal support, community based management training, procurement support etc.  </t>
  </si>
  <si>
    <t>Activity 2: Expansion of financial services programs targeting vulnerable micro-enterprises</t>
  </si>
  <si>
    <t>Activity 3: Provision of (start-up) grants (cash / in-kind)</t>
  </si>
  <si>
    <t xml:space="preserve">Activity 4: Provide (green) technology transfers to MSMEs/cooperatives, where possible involving research centers and universities to support innovation </t>
  </si>
  <si>
    <t>Activity 5: Provide incubation services to start up and MSMEs</t>
  </si>
  <si>
    <t># of VCs valorized and/or being upgraded</t>
  </si>
  <si>
    <t># of jobs created/maintained in targeted value chains</t>
  </si>
  <si>
    <t>See above</t>
  </si>
  <si>
    <t>One value chain is considered upgraded when all the prioritized interventions identified in the assessment are addressed</t>
  </si>
  <si>
    <t>see above</t>
  </si>
  <si>
    <t>partners project report</t>
  </si>
  <si>
    <t>bi-yearly</t>
  </si>
  <si>
    <t>Local VC</t>
  </si>
  <si>
    <t>National VC
5 targeted</t>
  </si>
  <si>
    <t>VC</t>
  </si>
  <si>
    <t>Syr</t>
  </si>
  <si>
    <t>National job creation</t>
  </si>
  <si>
    <t>Job creation at Gv level</t>
  </si>
  <si>
    <t>Nat VC</t>
  </si>
  <si>
    <t>Loc VC</t>
  </si>
  <si>
    <t>Nat vc</t>
  </si>
  <si>
    <t>Loc vc</t>
  </si>
  <si>
    <t>Ak</t>
  </si>
  <si>
    <t>T5</t>
  </si>
  <si>
    <t>Bei</t>
  </si>
  <si>
    <t>BML</t>
  </si>
  <si>
    <t>Bek</t>
  </si>
  <si>
    <t>Bh</t>
  </si>
  <si>
    <t>So</t>
  </si>
  <si>
    <t>Nab</t>
  </si>
  <si>
    <t>Bsn</t>
  </si>
  <si>
    <t># people</t>
  </si>
  <si>
    <t>monthly</t>
  </si>
  <si>
    <t>Cadastres</t>
  </si>
  <si>
    <t>Cad</t>
  </si>
  <si>
    <t>Activity 2: Improve environmental assets (rainwater harvesting, forestation, reforestation, cleaning, pruning, felling, Cleaning of drainage, replenishment of nurseries,  canals and rivers for flood prevention, construction of flood mitigation reservoirs and structures such as contour walls, check dams, and plant green areas in order to reduce flood risk, etc...).</t>
  </si>
  <si>
    <t>Activity 1: Upgrade public and municipal infrastructure  (irrigation canals, agricultural roads, road rehabilitation, public infrastructure upgrading including painting, repair, public space rehabilitation, garbage collection and cleaning services…)</t>
  </si>
  <si>
    <t>partners report in activity info</t>
  </si>
  <si>
    <t>partners report in activity info based on percentage of beneficiaries</t>
  </si>
  <si>
    <t xml:space="preserve">Decree, regulation, administrative instruction related to decent work defined by the International Labour Organization and endorsed by the international community as being productive work in conditions of freedom, equity, security and human dignity. </t>
  </si>
  <si>
    <t>Official Gazettes</t>
  </si>
  <si>
    <t>Decrees</t>
  </si>
  <si>
    <t xml:space="preserve">Policy </t>
  </si>
  <si>
    <t>Activity 1: Address decent work deficits such as lack of regulations and enforcement that safeguard informal work, decreasing working conditions, child labour through capacity support to and policy development with the Ministry of Labour</t>
  </si>
  <si>
    <t>Activity 2: Support selected responses aiming at improving working conditions and to address child labor and growing informality (with child protection partners)</t>
  </si>
  <si>
    <t>Activity 3: Strengthen vulnerable enterprises through provision of measures to counter child-labor</t>
  </si>
  <si>
    <t>Activity 1: Support employment policy and labour market strategy</t>
  </si>
  <si>
    <t>Activity 2: Establish SME observatory</t>
  </si>
  <si>
    <t>Activity 3: Development of National Liveilhoods Plan</t>
  </si>
  <si>
    <t>Activity 4: Development of participatory local economic development plans with public and private actors.</t>
  </si>
  <si>
    <t xml:space="preserve">Activity 5: Support MOL and NEO in the development of in-house automation and database management to allow for the efficiency of work process and the analysis &amp; control of labor data. </t>
  </si>
  <si>
    <t>Activity 7 : Conduct livelihoods sector surveys and set up data collection systems for knowledge management in the Livelihoods sector</t>
  </si>
  <si>
    <t>Activity 8: Support/expand current effective institutions that support the existing ecosystem for MSME (Business Development Centers, LEDAs, MFI, Equity Financers ect….)</t>
  </si>
  <si>
    <t xml:space="preserve"># of policies, strategies and plans amended, formulated and/or proposed to the Government </t>
  </si>
  <si>
    <t>Official document from GoL and partners report</t>
  </si>
  <si>
    <t>#policy, strategy, plan</t>
  </si>
  <si>
    <t>List below indicators used to measure Output 1.3</t>
  </si>
  <si>
    <t>List Activities under this output 1.3</t>
  </si>
  <si>
    <t>Livelihoods</t>
  </si>
  <si>
    <t>MOSA, MoET</t>
  </si>
  <si>
    <t>UNDP</t>
  </si>
  <si>
    <t>Sector: Livelihoods</t>
  </si>
  <si>
    <t>all benef</t>
  </si>
  <si>
    <t>Results Structure</t>
  </si>
  <si>
    <t>Result Statement</t>
  </si>
  <si>
    <t>Appeal Indicators</t>
  </si>
  <si>
    <t>Units/Targets</t>
  </si>
  <si>
    <t>Target</t>
  </si>
  <si>
    <t>Unit cost</t>
  </si>
  <si>
    <t>Length of programmes to reach target (year)</t>
  </si>
  <si>
    <t>Job creation impact</t>
  </si>
  <si>
    <t>Job created or maintained / year</t>
  </si>
  <si>
    <t>Total budget</t>
  </si>
  <si>
    <t>check</t>
  </si>
  <si>
    <t>Definition: The immediate results achieved at the program level through the execution of activities.</t>
  </si>
  <si>
    <t>Micro entreprises</t>
  </si>
  <si>
    <t>SME</t>
  </si>
  <si>
    <t>Start up</t>
  </si>
  <si>
    <t>Cooperatives</t>
  </si>
  <si>
    <t>Indicative activities (current): 
Business management trainings, Micro-finance, Grants, Technology transfer
additions: 
STEP (SMEs receiveing matching grants to job creation?), Sensitization on child labour</t>
  </si>
  <si>
    <t>per business</t>
  </si>
  <si>
    <t>OUTPUT Competitive integrated value chains (VC) strengthened and upgraded</t>
  </si>
  <si>
    <t xml:space="preserve"># of VCs valorized and/or being upgraded
# of jobs created/maintained in targeted value chains
</t>
  </si>
  <si>
    <t>Local value chain</t>
  </si>
  <si>
    <t xml:space="preserve">National value chain </t>
  </si>
  <si>
    <t>Indicative activities: 
VC assessment, identification of priority interventions, intervention</t>
  </si>
  <si>
    <t>13,000/job created</t>
  </si>
  <si>
    <t xml:space="preserve"> </t>
  </si>
  <si>
    <t>Indicative activities: Municipal infrastructure, environmental assets rehabilitation</t>
  </si>
  <si>
    <t>1500 / worker</t>
  </si>
  <si>
    <t>temporary</t>
  </si>
  <si>
    <t>full time equivalent (60k beneficiaries total)</t>
  </si>
  <si>
    <t>1 LED</t>
  </si>
  <si>
    <t>N/A - nation wide</t>
  </si>
  <si>
    <t>244 municipalities</t>
  </si>
  <si>
    <t>Output 1.2:  Competitive integrated value chains (VC) strengthened and upgraded</t>
  </si>
  <si>
    <t>6 Ministries (MOSA, MOET, MOL, MOInd, MOAg, MEHE)</t>
  </si>
  <si>
    <t># targeted vulnerable persons engaged in home-based income generation (at least 50% women)</t>
  </si>
  <si>
    <t># of targeted vulnerable persons employed through public infrastructure and environmental assets improvement (30% women)</t>
  </si>
  <si>
    <t xml:space="preserve"># of new Lebanese MSMEs established (functional after 6 months)
</t>
  </si>
  <si>
    <t xml:space="preserve">Activity 1: Assessments to identify value chains in need of support at the territorial level, focusing on strategic pro-poor value chains / sectors and to identify gaps or constraints in the value chains. </t>
  </si>
  <si>
    <t># total number of job created / maintained</t>
  </si>
  <si>
    <t>List below indicators used to evaluate the impact of programmes under outcome 2</t>
  </si>
  <si>
    <t># number of training beneficiaries (50% women)</t>
  </si>
  <si>
    <t>Job seekers supported through market-based skills trainings</t>
  </si>
  <si>
    <t>Job seekers supported through internships, apprenticeships, on-the-job schemes</t>
  </si>
  <si>
    <t>Official Gazettes &amp; Official document from GoL and partners report</t>
  </si>
  <si>
    <t>Decrees, policies, strategies, plans</t>
  </si>
  <si>
    <t># of policies, regulations and strategies amended and/or proposed approved by the Government</t>
  </si>
  <si>
    <t>Outcome Indicator</t>
  </si>
  <si>
    <t>Decree, regulation,  policy and strategy in place to support livelihoods, job creation, MSMEs or business eco-system</t>
  </si>
  <si>
    <t>World Bank Doing business ranking</t>
  </si>
  <si>
    <t>Annually</t>
  </si>
  <si>
    <t>Score / ranking</t>
  </si>
  <si>
    <t>Doing Business provides objective measures of business regulations (and their enforcement) and enables investors and entrepreneurs to assess the quality of a country's business environment</t>
  </si>
  <si>
    <t>Activity 3: Total value of capital investment contracted through private sector</t>
  </si>
  <si>
    <t>Activty 4: # of targeted villages benefiting from improved infrastructure and environmental assets</t>
  </si>
  <si>
    <t>Increase in ranking of Doing Business (World Bank)</t>
  </si>
  <si>
    <t># of workmen days generated</t>
  </si>
  <si>
    <t># people hired by contractors for the project(s)</t>
  </si>
  <si>
    <t># of days during which public work beneficiaries are mobilized through municipal infrastructure and environmental assets improvement</t>
  </si>
  <si>
    <t>Individuals using the skills gained in trainings for activities at home</t>
  </si>
  <si>
    <t>Individuals supported to access employment after receiving employment services and trainings</t>
  </si>
  <si>
    <t>Individuals receiving entrepreneurship support (through start-up grants, incubation services…)</t>
  </si>
  <si>
    <t>List below indicators used to measure Output 2.1</t>
  </si>
  <si>
    <t>List Activities under this output 2.1</t>
  </si>
  <si>
    <t>Activity 1: Provision of vocational skills (re-) training programmes, in particular for women and youth, based on market demand and supply.</t>
  </si>
  <si>
    <t>List below indicators used to measure Output 2.2</t>
  </si>
  <si>
    <t>List Activities under this output 2.2</t>
  </si>
  <si>
    <t>Targets 2018</t>
  </si>
  <si>
    <t>year 2018</t>
  </si>
  <si>
    <t>Targets per governorate (Mandatory at output level) - required for 2018 only</t>
  </si>
  <si>
    <t>Target 2019</t>
  </si>
  <si>
    <t>Targeted 2018</t>
  </si>
  <si>
    <t>Indicative Target 2019</t>
  </si>
  <si>
    <t>Indicative target 2020</t>
  </si>
  <si>
    <t>Hiba Douaihy, hibadou.mosa@gmail.com; Johnny Matta, jmatta@economy.gov.lb; Bastien Revel, bastien.revel@undp.org;</t>
  </si>
  <si>
    <t>Activity info</t>
  </si>
  <si>
    <t>LCRP 2018 - Results Framework</t>
  </si>
  <si>
    <t># of targeted vulnerable persons employed through public infrastructure and environmental assets improvement (30% women)
# of workmen days generated</t>
  </si>
  <si>
    <t>Targets 2020</t>
  </si>
  <si>
    <t>4 -  child labour, informality, monitoring of SMEs, Labour Inspection capacity</t>
  </si>
  <si>
    <t>Policy/Doing business</t>
  </si>
  <si>
    <t>List below indicators used to evaluate the impact of programmes under outcome 3</t>
  </si>
  <si>
    <t>List below indicators used to measure Output 3.1</t>
  </si>
  <si>
    <t># of decent work regulations amended and/or proposed approved by the Government</t>
  </si>
  <si>
    <t>List Activities under this output 3.1</t>
  </si>
  <si>
    <t>List below indicators used to measure Output 3.2</t>
  </si>
  <si>
    <t>List Activities under this output 3.2</t>
  </si>
  <si>
    <t>Targets 2019 (Optional)</t>
  </si>
  <si>
    <t>Project reports from partners based on follow up individually (by phone or through visit) with all supported businesses after the support (grant, training) has been provided , 3 to 6 months after the support to the business ended.</t>
  </si>
  <si>
    <t># number of jobseekers placed into jobs (at least 30% women)
# targeted vulnerable persons engaged in home-based income generation (at least 50% women)</t>
  </si>
  <si>
    <t>individual beneficiaries (all in skills training, benefitting from either internship or employment services as well)</t>
  </si>
  <si>
    <t>Indicative activities: Employment services, Accelerated skills training, internship/apprenticeship
Additions: Market research, curriculum design (incl. #hours)</t>
  </si>
  <si>
    <t xml:space="preserve"># of policies, regulations and strategies amended and/or proposed approved by the Government
Increase in ranking of Doing Business (World Bank)
</t>
  </si>
  <si>
    <t>Activity 6: Support to strengthen the Technical and Vocational Education and Training (TVET) and improve quality of skills training curricula to reflect market needs (together with Education Sector and relevant ministries)</t>
  </si>
  <si>
    <t>LCRP 2018/2020 Sector Logframe template</t>
  </si>
  <si>
    <t xml:space="preserve">3. 2018/2019 budgets and targets are mandatory </t>
  </si>
  <si>
    <t>6. File Name should be "LCRP_2018_SECTOR_LOGFRAME_Version</t>
  </si>
  <si>
    <t>Activity 2: Implement  value chain interventions addressing main gaps in value chains</t>
  </si>
  <si>
    <t>Outcomes</t>
  </si>
  <si>
    <t>Outputs</t>
  </si>
  <si>
    <t># value chains</t>
  </si>
  <si>
    <t>project reports from partners based on follow up monitoring to supported Lebanese MSMEs, activity info</t>
  </si>
  <si>
    <t xml:space="preserve">New jobs created in supported Lebanese MSMEs - Businesses who have hired new employees since the support was provided.
Jobs maintained in supported Lebanese MSMEs - For micro-businesses, it can be considered that any support provided helps the micro-business to maintain the jobs  in this business = the #employees of the micro-businesses they support as well as self-employed individuals (for micro-finance support). For SMEs this should be asked as part of the follow up underlined above. </t>
  </si>
  <si>
    <t>Activity 4: Support the MoL in areas of labor administration, implementation of the decent work country programme, and labour inspection capacity</t>
  </si>
  <si>
    <t>37,650 individual benefitting indirectly through 251 projects - one per vulnerable cadastre</t>
  </si>
  <si>
    <t>Coop
(4job av)</t>
  </si>
  <si>
    <t>Total</t>
  </si>
  <si>
    <t>Targets 2020 (Optional)</t>
  </si>
  <si>
    <t>Jobs</t>
  </si>
  <si>
    <t>prs</t>
  </si>
  <si>
    <t>prl</t>
  </si>
  <si>
    <t>leb</t>
  </si>
  <si>
    <t xml:space="preserve"> Total value of capital investment contracted through private sector</t>
  </si>
  <si>
    <t>value of investment (equipment, material, labour)</t>
  </si>
  <si>
    <t>USD value</t>
  </si>
  <si>
    <t>vuln pop in 251</t>
  </si>
  <si>
    <t>% population</t>
  </si>
  <si>
    <t>Job seekers placed into jobs (at least 30% women)</t>
  </si>
  <si>
    <t>Policy</t>
  </si>
  <si>
    <t>Livelihoods: Total budget (USD)</t>
  </si>
  <si>
    <t>20 VCs upgraded</t>
  </si>
  <si>
    <t>25 VCs upgraded</t>
  </si>
  <si>
    <t>20VCs</t>
  </si>
  <si>
    <t>25 Value Chains (average 3 per govenorate)
500 direct beneficiaries per value chain intervention
50 MSME benefitting</t>
  </si>
  <si>
    <t>14 VCs upgraded</t>
  </si>
  <si>
    <t>In 2018: 251 cadasters - 37,650 beneficiaries</t>
  </si>
  <si>
    <t>Job creation impact 2019</t>
  </si>
  <si>
    <t>25 VCs</t>
  </si>
  <si>
    <t>Targets per governorate (Mandatory at output level) - required for 2017 only</t>
  </si>
  <si>
    <t>Jobs 2019</t>
  </si>
  <si>
    <t>Jobs 2018</t>
  </si>
  <si>
    <t>Average Job creation annually (2018-2020)</t>
  </si>
  <si>
    <t>Total 2018</t>
  </si>
  <si>
    <t>Total 2019</t>
  </si>
  <si>
    <t>Total 2020</t>
  </si>
  <si>
    <t>Average VC job creation 2018-2020</t>
  </si>
  <si>
    <t>Activity 5: Conduct research and surveys on decent work</t>
  </si>
  <si>
    <t>Lead Ministries</t>
  </si>
  <si>
    <t xml:space="preserve"># of MSMEs &amp; cooperatives supported through business management trainings, financial/non-financial services or technology transfer.  </t>
  </si>
  <si>
    <t xml:space="preserve">Micro-enterprises, start-ups, SMEs &amp; cooperatives benefiting from one or all of the following services: entrepreneurial training, access to financial/non-financial  services or technology transfer.  </t>
  </si>
  <si>
    <t>Monthly</t>
  </si>
  <si>
    <t>A/C</t>
  </si>
  <si>
    <t>Activity 1: Implementation of (paid) internship, on-the-job training or apprenticeship programmes for youth within Lebanese entities</t>
  </si>
  <si>
    <t xml:space="preserve">Activity 2: Support the activities (including access to labour market information; career guidance; counseling; job matching; etc) and strengthen the capacity of employment services centers and the establishment of new centers where needed. </t>
  </si>
  <si>
    <t>Activity 3: Provision of employment services to job seekers (including career guidance, job matching, individual coaching and follow-up)</t>
  </si>
  <si>
    <t>Activity 4: Provision of entrepreneurship services to job seekers (including the provision of financial / technical support, etc.)</t>
  </si>
  <si>
    <t xml:space="preserve"># number of training beneficiaries (50% women) 
</t>
  </si>
  <si>
    <t>Output 2.2: Career guidance, job matching and apprentice/internship schemes offered to job seekers</t>
  </si>
  <si>
    <t># business</t>
  </si>
  <si>
    <t>2016 target and breakdown</t>
  </si>
  <si>
    <t>In 2018, 8,012 jobs created/maintained
1,129,500 workmen days
3,000 job seekers access employment</t>
  </si>
  <si>
    <t>3,090 businesses</t>
  </si>
  <si>
    <t>2,955 businesses</t>
  </si>
  <si>
    <t>In 2019: 251 cadasters - 37,650 beneficiaries</t>
  </si>
  <si>
    <t>In 2020: 251 cadasters - 37,650 beneficiaries</t>
  </si>
  <si>
    <t>3,090 MSMEs</t>
  </si>
  <si>
    <t>2,955 MSMEs</t>
  </si>
  <si>
    <t>2,770 MSMEs</t>
  </si>
  <si>
    <t>2,770 businesses</t>
  </si>
  <si>
    <t>Jobs 2020</t>
  </si>
  <si>
    <t>3,090 MSMEs (programmes are expected to last more than one yar)
3 jobs per MSME
4,935 direct beneficiaries</t>
  </si>
  <si>
    <t>Baalbek</t>
  </si>
  <si>
    <t xml:space="preserve">South </t>
  </si>
  <si>
    <t>Target 2019 (businesses)</t>
  </si>
  <si>
    <t>ML</t>
  </si>
  <si>
    <t>Target 2020 (businesses)</t>
  </si>
  <si>
    <t>Target 2018 (businesses)</t>
  </si>
  <si>
    <t>Activity 6: Develop advocacy/awareness-raising campaigns and material on labor standards and regulations</t>
  </si>
  <si>
    <t>Policy, strategy, plan in place to support livelihoods, job creations, MSMEs or business eco-system</t>
  </si>
  <si>
    <t>Activity 6: Support social enterprise projects</t>
  </si>
  <si>
    <t>Activity 9: Support MoET in the implementation of its SME Strategy</t>
  </si>
  <si>
    <t>Activity 3: Support for activities pertaining to support for foreign market access (particularly the EU,GCC, Eastern European countries, MERCOSUR, Iran and Russia)</t>
  </si>
  <si>
    <t>Activity 7: Fill identified financing gaps by supporting development of financing alternatives (debt, equity, grants) at the growth stage of SMEs</t>
  </si>
  <si>
    <t>Baseline 2018</t>
  </si>
  <si>
    <t>Baseline 2019</t>
  </si>
  <si>
    <t>2 (support to decent work country programme &amp; national action plan on worst forms of child labour)</t>
  </si>
  <si>
    <t>Businesses</t>
  </si>
  <si>
    <t>Project reports from partners based on follow up monitoring to supported Lebanese MSMEs, activity info</t>
  </si>
  <si>
    <t>OUTPUT 1.2: Competitive integrated value chains (VC) strengthened and upgraded</t>
  </si>
  <si>
    <t>OUTPUT 2.2: Career guidance, job matching and apprentice/internship schemes offered to job seekers</t>
  </si>
  <si>
    <t>OUTPUT 3.1: Decrees/regulations/awareness-raising material on decent work conditions developed and or/approved</t>
  </si>
  <si>
    <t>Awareness-raising/advocacy tools and material developed by partners to build the capacity of all relevant stakeholders and promote/improve decent work conditions in Lebanon.</t>
  </si>
  <si>
    <t>Partners reporting on Activity Info</t>
  </si>
  <si>
    <t>Material</t>
  </si>
  <si>
    <t>3 -  awareness-raising material developed for MSMEs/partners on labour regulations, decent work, child labour…</t>
  </si>
  <si>
    <t># target Lebanese MSMEs that report increased performance and expanded market access (new clients, contracts, market access) as a result of programme activities</t>
  </si>
  <si>
    <t>Supported Lebanese  MSMEs and cooperatives who report increasing profitability / production / expanded market access (new contracts, clients, market) 6 months after receiving support</t>
  </si>
  <si>
    <t xml:space="preserve"> OUTPUT Career guidance, job matching and apprentice/internship schemes offered to job seekers</t>
  </si>
  <si>
    <t># number of  individuals  benefiting from internships/apprenticeships/on-the-job trainings
# of targeted job seekers supported to access employment through career guidance, coaching or individual follow-up services (at least 30% women)
# of targeted job seekers supported to start their own business (at least 30% women)</t>
  </si>
  <si>
    <t># awareness-raising/advocacy material on labour regulations and decent work developed</t>
  </si>
  <si>
    <t>126th (rank)</t>
  </si>
  <si>
    <r>
      <t>Gradual increase in ranking to pre-crisis level (</t>
    </r>
    <r>
      <rPr>
        <b/>
        <sz val="11"/>
        <rFont val="Calibri"/>
        <family val="2"/>
        <scheme val="minor"/>
      </rPr>
      <t>124th</t>
    </r>
    <r>
      <rPr>
        <sz val="11"/>
        <rFont val="Calibri"/>
        <family val="2"/>
        <scheme val="minor"/>
      </rPr>
      <t xml:space="preserve">)
</t>
    </r>
  </si>
  <si>
    <r>
      <t>Gradual increase in ranking to imporove pre-crisis level (</t>
    </r>
    <r>
      <rPr>
        <b/>
        <sz val="11"/>
        <rFont val="Calibri"/>
        <family val="2"/>
        <scheme val="minor"/>
      </rPr>
      <t>122th</t>
    </r>
    <r>
      <rPr>
        <sz val="11"/>
        <rFont val="Calibri"/>
        <family val="2"/>
        <scheme val="minor"/>
      </rPr>
      <t>)</t>
    </r>
  </si>
  <si>
    <r>
      <t>Gradual increase in ranking to imporove pre-crisis level (</t>
    </r>
    <r>
      <rPr>
        <b/>
        <sz val="11"/>
        <rFont val="Calibri"/>
        <family val="2"/>
        <scheme val="minor"/>
      </rPr>
      <t>120th</t>
    </r>
    <r>
      <rPr>
        <sz val="11"/>
        <rFont val="Calibri"/>
        <family val="2"/>
        <scheme val="minor"/>
      </rPr>
      <t>)</t>
    </r>
  </si>
  <si>
    <t>12 - Development of Labour Market Strategy, Establish SME Observatory, Develop National Livelihoods Plan, 2 LED, NEO Database, Work with MEHE and other relevant ministries on TVET coordination and reform, 2 National Survey (labour market needs, value chain assessments...). 3 Industrial Zones</t>
  </si>
  <si>
    <r>
      <rPr>
        <b/>
        <sz val="11"/>
        <rFont val="Calibri"/>
        <family val="2"/>
        <scheme val="minor"/>
      </rPr>
      <t>19 policies / regulations / strategies</t>
    </r>
    <r>
      <rPr>
        <sz val="11"/>
        <rFont val="Calibri"/>
        <family val="2"/>
        <scheme val="minor"/>
      </rPr>
      <t xml:space="preserve"> / </t>
    </r>
    <r>
      <rPr>
        <b/>
        <sz val="11"/>
        <rFont val="Calibri"/>
        <family val="2"/>
        <scheme val="minor"/>
      </rPr>
      <t xml:space="preserve">advocacy/awareness raising materials </t>
    </r>
    <r>
      <rPr>
        <sz val="11"/>
        <rFont val="Calibri"/>
        <family val="2"/>
        <scheme val="minor"/>
      </rPr>
      <t>(including</t>
    </r>
    <r>
      <rPr>
        <b/>
        <sz val="11"/>
        <rFont val="Calibri"/>
        <family val="2"/>
        <scheme val="minor"/>
      </rPr>
      <t xml:space="preserve"> 4</t>
    </r>
    <r>
      <rPr>
        <sz val="11"/>
        <rFont val="Calibri"/>
        <family val="2"/>
        <scheme val="minor"/>
      </rPr>
      <t xml:space="preserve"> related to decent work - child labour, informality, monitoring of SMEs, Labour Inspection capacity - </t>
    </r>
    <r>
      <rPr>
        <b/>
        <sz val="11"/>
        <rFont val="Calibri"/>
        <family val="2"/>
        <scheme val="minor"/>
      </rPr>
      <t>3</t>
    </r>
    <r>
      <rPr>
        <sz val="11"/>
        <rFont val="Calibri"/>
        <family val="2"/>
        <scheme val="minor"/>
      </rPr>
      <t xml:space="preserve"> related to advocacy /awareness-raising - and</t>
    </r>
    <r>
      <rPr>
        <b/>
        <sz val="11"/>
        <rFont val="Calibri"/>
        <family val="2"/>
        <scheme val="minor"/>
      </rPr>
      <t xml:space="preserve"> 12</t>
    </r>
    <r>
      <rPr>
        <sz val="11"/>
        <rFont val="Calibri"/>
        <family val="2"/>
        <scheme val="minor"/>
      </rPr>
      <t xml:space="preserve"> related to the enabling environment)
</t>
    </r>
  </si>
  <si>
    <t xml:space="preserve">4
3
</t>
  </si>
  <si>
    <r>
      <rPr>
        <b/>
        <sz val="11"/>
        <rFont val="Calibri"/>
        <family val="2"/>
        <scheme val="minor"/>
      </rPr>
      <t xml:space="preserve">19 policies / regulations / strategies / awareness-raising material </t>
    </r>
    <r>
      <rPr>
        <sz val="11"/>
        <rFont val="Calibri"/>
        <family val="2"/>
        <scheme val="minor"/>
      </rPr>
      <t>(including</t>
    </r>
    <r>
      <rPr>
        <b/>
        <sz val="11"/>
        <rFont val="Calibri"/>
        <family val="2"/>
        <scheme val="minor"/>
      </rPr>
      <t xml:space="preserve"> 4</t>
    </r>
    <r>
      <rPr>
        <sz val="11"/>
        <rFont val="Calibri"/>
        <family val="2"/>
        <scheme val="minor"/>
      </rPr>
      <t xml:space="preserve"> related to decent work, </t>
    </r>
    <r>
      <rPr>
        <b/>
        <sz val="11"/>
        <rFont val="Calibri"/>
        <family val="2"/>
        <scheme val="minor"/>
      </rPr>
      <t>3</t>
    </r>
    <r>
      <rPr>
        <sz val="11"/>
        <rFont val="Calibri"/>
        <family val="2"/>
        <scheme val="minor"/>
      </rPr>
      <t xml:space="preserve"> to awareness raising/advocacy, and</t>
    </r>
    <r>
      <rPr>
        <b/>
        <sz val="11"/>
        <rFont val="Calibri"/>
        <family val="2"/>
        <scheme val="minor"/>
      </rPr>
      <t xml:space="preserve"> 9</t>
    </r>
    <r>
      <rPr>
        <sz val="11"/>
        <rFont val="Calibri"/>
        <family val="2"/>
        <scheme val="minor"/>
      </rPr>
      <t xml:space="preserve"> related to the enabling environment)
</t>
    </r>
  </si>
  <si>
    <r>
      <rPr>
        <b/>
        <sz val="11"/>
        <rFont val="Calibri"/>
        <family val="2"/>
        <scheme val="minor"/>
      </rPr>
      <t>19 policies / regulations / strategies / awareness-raising material</t>
    </r>
    <r>
      <rPr>
        <sz val="11"/>
        <rFont val="Calibri"/>
        <family val="2"/>
        <scheme val="minor"/>
      </rPr>
      <t xml:space="preserve"> (including </t>
    </r>
    <r>
      <rPr>
        <b/>
        <sz val="11"/>
        <rFont val="Calibri"/>
        <family val="2"/>
        <scheme val="minor"/>
      </rPr>
      <t xml:space="preserve">4 </t>
    </r>
    <r>
      <rPr>
        <sz val="11"/>
        <rFont val="Calibri"/>
        <family val="2"/>
        <scheme val="minor"/>
      </rPr>
      <t xml:space="preserve">related to decent work, </t>
    </r>
    <r>
      <rPr>
        <b/>
        <sz val="11"/>
        <rFont val="Calibri"/>
        <family val="2"/>
        <scheme val="minor"/>
      </rPr>
      <t>3</t>
    </r>
    <r>
      <rPr>
        <sz val="11"/>
        <rFont val="Calibri"/>
        <family val="2"/>
        <scheme val="minor"/>
      </rPr>
      <t xml:space="preserve"> to awareness raising/advocacy, and </t>
    </r>
    <r>
      <rPr>
        <b/>
        <sz val="11"/>
        <rFont val="Calibri"/>
        <family val="2"/>
        <scheme val="minor"/>
      </rPr>
      <t>9</t>
    </r>
    <r>
      <rPr>
        <sz val="11"/>
        <rFont val="Calibri"/>
        <family val="2"/>
        <scheme val="minor"/>
      </rPr>
      <t xml:space="preserve"> related to the enabling environment)</t>
    </r>
  </si>
  <si>
    <t>350,000 per LED
1mUSD SME observatory
1.5m USD NEO support
1.5m USD TVET support
1.5m USD assessments
1mUSD per industrial zones</t>
  </si>
  <si>
    <t>Activity 10: Support MoL in development of Industrial Zones</t>
  </si>
  <si>
    <t>OUTPUT Decrees/regulations/awareness-raising material on decent work conditions developed and or/approved</t>
  </si>
  <si>
    <t># number of  individuals  benefiting from internships/apprenticeships/on-the-job trainings (at least 50% women)</t>
  </si>
  <si>
    <t># of targeted job seekers supported to access employment through career guidance, coaching or individual follow-up services (at least 50% women)</t>
  </si>
  <si>
    <t># of targeted job seekers supported to start their own business (at least 50% women)</t>
  </si>
  <si>
    <t># of job seekers placed into jobs (at least 50% women)</t>
  </si>
  <si>
    <t>OUTCOME 2: Improve workforce employability</t>
  </si>
  <si>
    <t>OUTCOME 1: Stimulate local economic development and market systems to create income generating opportunities and employment</t>
  </si>
  <si>
    <t>OUTCOME 3: Strengthen policy development and enabling environment for job creation</t>
  </si>
  <si>
    <t>OUTPUT 1.1: Series of technical and financial support to MSME sector to enable growth and job creation provided</t>
  </si>
  <si>
    <t>OUTPUT 1.3: Job creation in vulnerable areas fostered through labour-intensive investments in productive public infrastructure and environmental assets</t>
  </si>
  <si>
    <t>OUTPUT 2.1: Technical support to vulnerable people in marketable skills provided</t>
  </si>
  <si>
    <t>OUTPUT 3.2: Policies, strategies and plans supporting job creation, MSMEs and livelihoods developed to improve the business eco-system</t>
  </si>
  <si>
    <t>Output 3.1:  Decrees/regulations/awareness-raising material on decent work conditions developed and or/approved</t>
  </si>
  <si>
    <t>Output 3.2: Policies, strategies and plans supporting job creation, MSMEs and livelihoods developed to improve the business eco-system</t>
  </si>
  <si>
    <t>Output 1.1:  Series of technical and financial support to MSME sector to enable growth and job creation provided</t>
  </si>
  <si>
    <t>Output 1.3: Job creation in vulnerable areas fostered through labour-intensive investments in productive public infrastructure and environmental assets</t>
  </si>
  <si>
    <t>Output 2.1:  Technical support to vulnerable people in marketable skills provided</t>
  </si>
  <si>
    <t>OUTPUT Policies, strategies and plans supporting job creation, MSMEs and livelihoods developed to improve the business eco-system</t>
  </si>
  <si>
    <t>Version 12</t>
  </si>
  <si>
    <t>Outcome 1: Stimulate local economic development and market systems to create income generating opportunities and employment</t>
  </si>
  <si>
    <t>Outcome 2: Improve workforce employability</t>
  </si>
  <si>
    <t>Outcome 3: Strengthen policy development and enabling environment for job creation</t>
  </si>
  <si>
    <t>OUTCOME 3: Strengthen policy development and enabling environment for job creation
In activity info: Decent work &amp; policy and strategies supporting job creation</t>
  </si>
  <si>
    <t>Baseline 2016</t>
  </si>
  <si>
    <t>6 VCs</t>
  </si>
  <si>
    <t>7,588 (14% women)</t>
  </si>
  <si>
    <t>19,975 (68% women)</t>
  </si>
  <si>
    <t>3,301 (55% women)</t>
  </si>
  <si>
    <t>5,301 (56% women)</t>
  </si>
  <si>
    <t>5 (support to MoET SME strategy, MEHE TVET strategy, national livelihoods assessments (Mind the gap, value  chain assessments…), industrial zones</t>
  </si>
  <si>
    <t>Targets 2019</t>
  </si>
  <si>
    <t>OUTPUT Series of technical and financial support to MSME sector to enable growth and job creation provided
In Activity Info : MSME/Cooperatives Support and Value Chains</t>
  </si>
  <si>
    <r>
      <t># new commercial linkages for existing Lebanese MSMEs</t>
    </r>
    <r>
      <rPr>
        <sz val="11"/>
        <rFont val="Calibri"/>
        <family val="2"/>
        <scheme val="minor"/>
      </rPr>
      <t xml:space="preserve"> (new contract, client, market accessed)
</t>
    </r>
    <r>
      <rPr>
        <b/>
        <sz val="11"/>
        <rFont val="Calibri"/>
        <family val="2"/>
        <scheme val="minor"/>
      </rPr>
      <t># target Lebanese MSMEs that report increased profitability, improved production</t>
    </r>
    <r>
      <rPr>
        <sz val="11"/>
        <rFont val="Calibri"/>
        <family val="2"/>
        <scheme val="minor"/>
      </rPr>
      <t xml:space="preserve"> as a result of programme activities
# </t>
    </r>
    <r>
      <rPr>
        <b/>
        <sz val="11"/>
        <rFont val="Calibri"/>
        <family val="2"/>
        <scheme val="minor"/>
      </rPr>
      <t>of MSMEs &amp; cooperatives supported through business management trainings, financial/non-financial services or technology transfer.</t>
    </r>
    <r>
      <rPr>
        <sz val="11"/>
        <rFont val="Calibri"/>
        <family val="2"/>
        <scheme val="minor"/>
      </rPr>
      <t xml:space="preserve">
</t>
    </r>
    <r>
      <rPr>
        <b/>
        <sz val="11"/>
        <rFont val="Calibri"/>
        <family val="2"/>
        <scheme val="minor"/>
      </rPr>
      <t># of new Lebanese MSMEs established</t>
    </r>
    <r>
      <rPr>
        <sz val="11"/>
        <rFont val="Calibri"/>
        <family val="2"/>
        <scheme val="minor"/>
      </rPr>
      <t xml:space="preserve"> (functional after 6 months)</t>
    </r>
  </si>
  <si>
    <r>
      <t>OUTPUT Job creation in vulnerable areas fostered through labour-intensive investments in productive public infrastructure and environmental assets</t>
    </r>
    <r>
      <rPr>
        <b/>
        <sz val="12"/>
        <rFont val="Times New Roman"/>
        <family val="2"/>
      </rPr>
      <t xml:space="preserve">
In Activity Info: Job creation through investment in infrastructures and assets</t>
    </r>
  </si>
  <si>
    <r>
      <rPr>
        <b/>
        <sz val="12"/>
        <rFont val="Times New Roman"/>
        <family val="1"/>
      </rPr>
      <t>cadaster</t>
    </r>
    <r>
      <rPr>
        <sz val="12"/>
        <rFont val="Times New Roman"/>
        <family val="2"/>
      </rPr>
      <t xml:space="preserve"> (in each 251 vulnerable cadastre average of 4 cycles of 3 months of 50 beneficiaries for 10 days average/months @ 20$ per day, 40% total cost going to labour) - 37,650 beneficiaries total</t>
    </r>
  </si>
  <si>
    <r>
      <t xml:space="preserve"> OUTPUT  </t>
    </r>
    <r>
      <rPr>
        <b/>
        <sz val="12"/>
        <rFont val="Times New Roman"/>
        <family val="1"/>
      </rPr>
      <t>Technical support to vulnerable people in marketable skills provided</t>
    </r>
  </si>
  <si>
    <t xml:space="preserve"># of decent work regulations amended and/or proposed approved by the Government
# awareness-raising/advocacy material on labour regulations and decent work developed
</t>
  </si>
  <si>
    <t># of decent work regulations amended and/or proposed approved by the Government
# awareness-raising/advocacy material on labour regulations and decent work developed</t>
  </si>
  <si>
    <t>Support employment policy and labour market strategy, support MoET on implementation SME Strategy, Establish SME observatory, Development of National Liveilhoods Plan, Development of LED Plans, Support MOL in labour market database &amp; analysis, support MEHE in review of TVET, Livelihoods Sector Surveys, Support MSMEs ecosystem, Industrial Zones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</si>
</sst>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_);_(* \(#,##0\);_(* &quot;-&quot;_);_(@_)"/>
    <numFmt numFmtId="165" formatCode="_(&quot;$&quot;* #,##0.00_);_(&quot;$&quot;* \(#,##0.00\);_(&quot;$&quot;* &quot;-&quot;??_);_(@_)"/>
    <numFmt numFmtId="166" formatCode="_(* #,##0.00_);_(* \(#,##0.00\);_(* &quot;-&quot;??_);_(@_)"/>
    <numFmt numFmtId="167" formatCode="_(* #,##0_);_(* \(#,##0\);_(* &quot;-&quot;??_);_(@_)"/>
    <numFmt numFmtId="168" formatCode="&quot;$&quot;#,##0.00"/>
    <numFmt numFmtId="169" formatCode="&quot;$&quot;#,##0"/>
    <numFmt numFmtId="170" formatCode="0.0"/>
    <numFmt numFmtId="171" formatCode="_(&quot;$&quot;* #,##0_);_(&quot;$&quot;* \(#,##0\);_(&quot;$&quot;* &quot;-&quot;??_);_(@_)"/>
    <numFmt numFmtId="172" formatCode="0_);\(0\)"/>
    <numFmt numFmtId="173" formatCode="#,##0.0000"/>
    <numFmt numFmtId="174" formatCode="#,##0.000"/>
    <numFmt numFmtId="175" formatCode="0.0000"/>
  </numFmts>
  <fonts count="45"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8"/>
      <name val="Calibri"/>
      <family val="2"/>
      <scheme val="minor"/>
    </font>
    <font>
      <b/>
      <sz val="11"/>
      <name val="Calibri"/>
      <family val="2"/>
      <scheme val="minor"/>
    </font>
    <font>
      <sz val="18"/>
      <color theme="8"/>
      <name val="Calibri"/>
      <family val="2"/>
      <scheme val="minor"/>
    </font>
    <font>
      <sz val="11"/>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8"/>
      <name val="Calibri"/>
      <family val="2"/>
      <scheme val="minor"/>
    </font>
    <font>
      <b/>
      <sz val="16"/>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sz val="12"/>
      <name val="Calibri Light"/>
      <family val="2"/>
      <scheme val="major"/>
    </font>
    <font>
      <b/>
      <sz val="22"/>
      <color theme="1"/>
      <name val="Calibri"/>
      <family val="2"/>
      <scheme val="minor"/>
    </font>
    <font>
      <sz val="16"/>
      <name val="Calibri Light"/>
      <family val="2"/>
      <scheme val="major"/>
    </font>
    <font>
      <b/>
      <sz val="11"/>
      <name val="Calibri Light"/>
      <family val="2"/>
      <scheme val="major"/>
    </font>
    <font>
      <b/>
      <sz val="14"/>
      <color theme="3"/>
      <name val="Calibri"/>
      <family val="2"/>
      <scheme val="minor"/>
    </font>
    <font>
      <b/>
      <sz val="14"/>
      <name val="Calibri"/>
      <family val="2"/>
      <scheme val="minor"/>
    </font>
    <font>
      <b/>
      <sz val="14"/>
      <color theme="1"/>
      <name val="Calibri"/>
      <family val="2"/>
      <scheme val="minor"/>
    </font>
    <font>
      <sz val="16"/>
      <name val="Calibri"/>
      <family val="2"/>
      <scheme val="minor"/>
    </font>
    <font>
      <sz val="14"/>
      <name val="Calibri"/>
      <family val="2"/>
      <scheme val="minor"/>
    </font>
    <font>
      <sz val="12"/>
      <color theme="1"/>
      <name val="Times New Roman"/>
      <family val="2"/>
    </font>
    <font>
      <b/>
      <sz val="12"/>
      <color theme="1"/>
      <name val="Times New Roman"/>
      <family val="1"/>
    </font>
    <font>
      <sz val="12"/>
      <color theme="1"/>
      <name val="Times New Roman"/>
      <family val="1"/>
    </font>
    <font>
      <sz val="12"/>
      <name val="Times New Roman"/>
      <family val="2"/>
    </font>
    <font>
      <b/>
      <sz val="12"/>
      <name val="Times New Roman"/>
      <family val="1"/>
    </font>
    <font>
      <b/>
      <sz val="9"/>
      <color indexed="81"/>
      <name val="Tahoma"/>
      <family val="2"/>
    </font>
    <font>
      <sz val="9"/>
      <color indexed="81"/>
      <name val="Tahoma"/>
      <family val="2"/>
    </font>
    <font>
      <b/>
      <sz val="20"/>
      <color rgb="FFFF0000"/>
      <name val="Calibri"/>
      <family val="2"/>
      <scheme val="minor"/>
    </font>
    <font>
      <b/>
      <sz val="20"/>
      <name val="Calibri"/>
      <family val="2"/>
      <scheme val="minor"/>
    </font>
    <font>
      <sz val="10"/>
      <name val="Calibri"/>
      <family val="2"/>
      <scheme val="minor"/>
    </font>
    <font>
      <b/>
      <sz val="16"/>
      <color theme="1"/>
      <name val="Times New Roman"/>
      <family val="1"/>
    </font>
    <font>
      <sz val="10"/>
      <color theme="1"/>
      <name val="Calibri"/>
      <family val="2"/>
      <scheme val="minor"/>
    </font>
    <font>
      <sz val="12"/>
      <color theme="8"/>
      <name val="Calibri"/>
      <family val="2"/>
      <scheme val="minor"/>
    </font>
    <font>
      <b/>
      <sz val="14"/>
      <color theme="1"/>
      <name val="Times New Roman"/>
      <family val="1"/>
    </font>
    <font>
      <sz val="12"/>
      <name val="Times New Roman"/>
      <family val="1"/>
    </font>
    <font>
      <b/>
      <sz val="12"/>
      <name val="Times New Roman"/>
      <family val="2"/>
    </font>
    <font>
      <b/>
      <sz val="16"/>
      <name val="Times New Roman"/>
      <family val="1"/>
    </font>
    <font>
      <i/>
      <sz val="12"/>
      <name val="Times New Roman"/>
      <family val="2"/>
    </font>
  </fonts>
  <fills count="2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theme="4"/>
      </patternFill>
    </fill>
    <fill>
      <patternFill patternType="solid">
        <fgColor theme="9" tint="0.59999389629810485"/>
        <bgColor theme="4"/>
      </patternFill>
    </fill>
    <fill>
      <patternFill patternType="solid">
        <fgColor theme="5" tint="0.79998168889431442"/>
        <bgColor theme="4"/>
      </patternFill>
    </fill>
    <fill>
      <patternFill patternType="solid">
        <fgColor theme="4" tint="0.59999389629810485"/>
        <bgColor theme="4"/>
      </patternFill>
    </fill>
    <fill>
      <patternFill patternType="solid">
        <fgColor theme="9" tint="0.39997558519241921"/>
        <bgColor theme="4"/>
      </patternFill>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8" tint="0.79998168889431442"/>
        <bgColor theme="4"/>
      </patternFill>
    </fill>
    <fill>
      <patternFill patternType="solid">
        <fgColor theme="8" tint="0.59999389629810485"/>
        <bgColor theme="4"/>
      </patternFill>
    </fill>
    <fill>
      <patternFill patternType="solid">
        <fgColor theme="8" tint="0.59999389629810485"/>
        <bgColor indexed="64"/>
      </patternFill>
    </fill>
    <fill>
      <patternFill patternType="solid">
        <fgColor theme="0" tint="-4.9989318521683403E-2"/>
        <bgColor theme="4"/>
      </patternFill>
    </fill>
  </fills>
  <borders count="6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right style="thick">
        <color theme="0"/>
      </right>
      <top style="thin">
        <color auto="1"/>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auto="1"/>
      </top>
      <bottom style="thin">
        <color auto="1"/>
      </bottom>
      <diagonal/>
    </border>
    <border>
      <left style="medium">
        <color auto="1"/>
      </left>
      <right style="medium">
        <color auto="1"/>
      </right>
      <top style="thin">
        <color indexed="64"/>
      </top>
      <bottom style="medium">
        <color auto="1"/>
      </bottom>
      <diagonal/>
    </border>
    <border>
      <left style="medium">
        <color auto="1"/>
      </left>
      <right style="medium">
        <color auto="1"/>
      </right>
      <top style="medium">
        <color auto="1"/>
      </top>
      <bottom style="thin">
        <color indexed="64"/>
      </bottom>
      <diagonal/>
    </border>
    <border>
      <left style="medium">
        <color auto="1"/>
      </left>
      <right style="thin">
        <color indexed="64"/>
      </right>
      <top style="medium">
        <color auto="1"/>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auto="1"/>
      </left>
      <right/>
      <top style="thin">
        <color auto="1"/>
      </top>
      <bottom/>
      <diagonal/>
    </border>
    <border>
      <left style="thick">
        <color theme="0"/>
      </left>
      <right style="thick">
        <color theme="0"/>
      </right>
      <top style="thin">
        <color auto="1"/>
      </top>
      <bottom style="thin">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medium">
        <color auto="1"/>
      </bottom>
      <diagonal/>
    </border>
    <border>
      <left/>
      <right style="medium">
        <color indexed="64"/>
      </right>
      <top/>
      <bottom style="thin">
        <color auto="1"/>
      </bottom>
      <diagonal/>
    </border>
  </borders>
  <cellStyleXfs count="10">
    <xf numFmtId="0" fontId="0" fillId="0" borderId="0"/>
    <xf numFmtId="9" fontId="2"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166" fontId="2" fillId="0" borderId="0" applyFont="0" applyFill="0" applyBorder="0" applyAlignment="0" applyProtection="0"/>
    <xf numFmtId="0" fontId="27" fillId="0" borderId="0"/>
    <xf numFmtId="165" fontId="27" fillId="0" borderId="0" applyFont="0" applyFill="0" applyBorder="0" applyAlignment="0" applyProtection="0"/>
    <xf numFmtId="9" fontId="27" fillId="0" borderId="0" applyFont="0" applyFill="0" applyBorder="0" applyAlignment="0" applyProtection="0"/>
    <xf numFmtId="165" fontId="2" fillId="0" borderId="0" applyFont="0" applyFill="0" applyBorder="0" applyAlignment="0" applyProtection="0"/>
  </cellStyleXfs>
  <cellXfs count="736">
    <xf numFmtId="0" fontId="0" fillId="0" borderId="0" xfId="0"/>
    <xf numFmtId="0" fontId="0" fillId="0" borderId="0" xfId="0" applyAlignment="1">
      <alignment wrapText="1"/>
    </xf>
    <xf numFmtId="0" fontId="9" fillId="0" borderId="2" xfId="2" applyFont="1" applyBorder="1" applyAlignment="1">
      <alignment horizontal="left" vertical="center"/>
    </xf>
    <xf numFmtId="0" fontId="9" fillId="0" borderId="0" xfId="2" applyFont="1" applyFill="1" applyBorder="1" applyAlignment="1">
      <alignment vertical="center"/>
    </xf>
    <xf numFmtId="0" fontId="14" fillId="0" borderId="0" xfId="2" applyFont="1" applyFill="1" applyBorder="1" applyAlignment="1">
      <alignment vertical="center"/>
    </xf>
    <xf numFmtId="0" fontId="0" fillId="0" borderId="5" xfId="0" applyBorder="1" applyAlignment="1">
      <alignment horizontal="center" wrapText="1"/>
    </xf>
    <xf numFmtId="0" fontId="0" fillId="0" borderId="0" xfId="0" applyBorder="1" applyAlignment="1">
      <alignment wrapText="1"/>
    </xf>
    <xf numFmtId="167" fontId="10" fillId="0" borderId="0" xfId="3" applyNumberFormat="1" applyFont="1" applyFill="1" applyBorder="1" applyAlignment="1">
      <alignment vertical="center"/>
    </xf>
    <xf numFmtId="0" fontId="16" fillId="0" borderId="6" xfId="0" applyFont="1" applyFill="1" applyBorder="1" applyAlignment="1">
      <alignment vertical="top" wrapText="1"/>
    </xf>
    <xf numFmtId="0" fontId="16" fillId="2" borderId="1" xfId="0" applyFont="1" applyFill="1" applyBorder="1" applyAlignment="1">
      <alignment vertical="top" wrapText="1"/>
    </xf>
    <xf numFmtId="0" fontId="16" fillId="0" borderId="1" xfId="0" applyFont="1" applyFill="1" applyBorder="1" applyAlignment="1">
      <alignment vertical="top" wrapText="1"/>
    </xf>
    <xf numFmtId="0" fontId="0" fillId="0" borderId="0" xfId="0" applyFill="1" applyAlignment="1">
      <alignment wrapText="1"/>
    </xf>
    <xf numFmtId="0" fontId="9" fillId="0" borderId="0" xfId="2" applyFont="1" applyBorder="1" applyAlignment="1">
      <alignment horizontal="right" vertical="center"/>
    </xf>
    <xf numFmtId="0" fontId="9" fillId="0" borderId="0" xfId="2" applyFont="1" applyBorder="1" applyAlignment="1">
      <alignment horizontal="left" vertical="center"/>
    </xf>
    <xf numFmtId="0" fontId="19" fillId="0" borderId="0" xfId="0" applyFont="1" applyAlignment="1">
      <alignment wrapText="1"/>
    </xf>
    <xf numFmtId="0" fontId="20" fillId="0" borderId="0" xfId="2" applyFont="1" applyBorder="1" applyAlignment="1">
      <alignment vertical="center"/>
    </xf>
    <xf numFmtId="0" fontId="0" fillId="0" borderId="0" xfId="0" applyFont="1" applyAlignment="1">
      <alignment wrapText="1"/>
    </xf>
    <xf numFmtId="0" fontId="15" fillId="5" borderId="0" xfId="2" applyFont="1" applyFill="1" applyBorder="1" applyAlignment="1">
      <alignment vertical="center"/>
    </xf>
    <xf numFmtId="0" fontId="21" fillId="5" borderId="5" xfId="2" applyFont="1" applyFill="1" applyBorder="1" applyAlignment="1">
      <alignment vertical="center"/>
    </xf>
    <xf numFmtId="0" fontId="21" fillId="5" borderId="9" xfId="2" applyFont="1" applyFill="1" applyBorder="1" applyAlignment="1">
      <alignment vertical="center"/>
    </xf>
    <xf numFmtId="0" fontId="9" fillId="8" borderId="0" xfId="2" applyFont="1" applyFill="1" applyBorder="1" applyAlignment="1">
      <alignment horizontal="right" vertical="center"/>
    </xf>
    <xf numFmtId="0" fontId="9" fillId="8" borderId="5" xfId="2" applyFont="1" applyFill="1" applyBorder="1" applyAlignment="1">
      <alignment vertical="center"/>
    </xf>
    <xf numFmtId="0" fontId="9" fillId="8" borderId="9" xfId="2" applyFont="1" applyFill="1" applyBorder="1" applyAlignment="1">
      <alignment vertical="center"/>
    </xf>
    <xf numFmtId="0" fontId="9" fillId="8" borderId="9" xfId="2" applyFont="1" applyFill="1" applyBorder="1" applyAlignment="1">
      <alignment horizontal="right" vertical="center" wrapText="1"/>
    </xf>
    <xf numFmtId="0" fontId="0" fillId="8" borderId="0" xfId="0" applyFill="1" applyBorder="1"/>
    <xf numFmtId="0" fontId="9" fillId="8" borderId="0" xfId="2" applyFont="1" applyFill="1" applyBorder="1" applyAlignment="1">
      <alignment horizontal="right" vertical="center" wrapText="1"/>
    </xf>
    <xf numFmtId="167" fontId="9" fillId="8" borderId="0" xfId="3" applyNumberFormat="1" applyFont="1" applyFill="1" applyBorder="1" applyAlignment="1">
      <alignment vertical="center"/>
    </xf>
    <xf numFmtId="0" fontId="1" fillId="5" borderId="5" xfId="0" applyFont="1" applyFill="1" applyBorder="1" applyAlignment="1">
      <alignment horizontal="right"/>
    </xf>
    <xf numFmtId="0" fontId="5" fillId="13" borderId="10" xfId="0" applyFont="1" applyFill="1" applyBorder="1" applyAlignment="1">
      <alignment horizontal="center" vertical="top"/>
    </xf>
    <xf numFmtId="0" fontId="5" fillId="14" borderId="10" xfId="0" applyFont="1" applyFill="1" applyBorder="1" applyAlignment="1">
      <alignment horizontal="center" vertical="top"/>
    </xf>
    <xf numFmtId="0" fontId="5" fillId="14" borderId="10" xfId="0" applyFont="1" applyFill="1" applyBorder="1" applyAlignment="1">
      <alignment horizontal="center" vertical="top" wrapText="1"/>
    </xf>
    <xf numFmtId="0" fontId="16" fillId="12" borderId="1" xfId="0" applyFont="1" applyFill="1" applyBorder="1" applyAlignment="1">
      <alignment vertical="top" wrapText="1"/>
    </xf>
    <xf numFmtId="0" fontId="16" fillId="12" borderId="6" xfId="0" applyFont="1" applyFill="1" applyBorder="1" applyAlignment="1">
      <alignment vertical="top" wrapText="1"/>
    </xf>
    <xf numFmtId="0" fontId="16" fillId="11" borderId="6" xfId="0" applyFont="1" applyFill="1" applyBorder="1" applyAlignment="1">
      <alignment vertical="top" wrapText="1"/>
    </xf>
    <xf numFmtId="0" fontId="5" fillId="4" borderId="10" xfId="0" applyFont="1" applyFill="1" applyBorder="1" applyAlignment="1">
      <alignment horizontal="left" vertical="center"/>
    </xf>
    <xf numFmtId="3" fontId="16" fillId="12" borderId="1" xfId="0" applyNumberFormat="1" applyFont="1" applyFill="1" applyBorder="1" applyAlignment="1">
      <alignment vertical="top" wrapText="1"/>
    </xf>
    <xf numFmtId="3" fontId="16" fillId="11" borderId="1" xfId="0" applyNumberFormat="1" applyFont="1" applyFill="1" applyBorder="1" applyAlignment="1">
      <alignment vertical="top" wrapText="1"/>
    </xf>
    <xf numFmtId="0" fontId="5" fillId="16" borderId="10" xfId="0" applyFont="1" applyFill="1" applyBorder="1" applyAlignment="1">
      <alignment horizontal="center" vertical="top"/>
    </xf>
    <xf numFmtId="3" fontId="16" fillId="10" borderId="1" xfId="0" applyNumberFormat="1" applyFont="1" applyFill="1" applyBorder="1" applyAlignment="1">
      <alignment vertical="top" wrapText="1"/>
    </xf>
    <xf numFmtId="0" fontId="16" fillId="10" borderId="6" xfId="0" applyFont="1" applyFill="1" applyBorder="1" applyAlignment="1">
      <alignment vertical="top" wrapText="1"/>
    </xf>
    <xf numFmtId="0" fontId="5" fillId="9" borderId="10" xfId="0" applyFont="1" applyFill="1" applyBorder="1" applyAlignment="1">
      <alignment horizontal="center" vertical="top"/>
    </xf>
    <xf numFmtId="0" fontId="16" fillId="3" borderId="6" xfId="0" applyFont="1" applyFill="1" applyBorder="1" applyAlignment="1">
      <alignment vertical="top" wrapText="1"/>
    </xf>
    <xf numFmtId="3" fontId="16" fillId="3" borderId="1" xfId="0" applyNumberFormat="1" applyFont="1" applyFill="1" applyBorder="1" applyAlignment="1">
      <alignment vertical="top" wrapText="1"/>
    </xf>
    <xf numFmtId="0" fontId="5" fillId="16" borderId="10" xfId="0" applyFont="1" applyFill="1" applyBorder="1" applyAlignment="1">
      <alignment horizontal="center" vertical="top" wrapText="1"/>
    </xf>
    <xf numFmtId="0" fontId="16" fillId="10" borderId="1" xfId="0" applyFont="1" applyFill="1" applyBorder="1" applyAlignment="1">
      <alignment vertical="top" wrapText="1"/>
    </xf>
    <xf numFmtId="3" fontId="0" fillId="12" borderId="1" xfId="0" applyNumberFormat="1" applyFont="1" applyFill="1" applyBorder="1" applyAlignment="1">
      <alignment vertical="center" wrapText="1"/>
    </xf>
    <xf numFmtId="0" fontId="0" fillId="0" borderId="0" xfId="0" applyBorder="1" applyAlignment="1">
      <alignment horizontal="center" wrapText="1"/>
    </xf>
    <xf numFmtId="0" fontId="0" fillId="0" borderId="0" xfId="0" applyBorder="1"/>
    <xf numFmtId="0" fontId="1" fillId="5" borderId="14" xfId="0" applyFont="1" applyFill="1" applyBorder="1" applyAlignment="1">
      <alignment horizontal="right"/>
    </xf>
    <xf numFmtId="0" fontId="14" fillId="10" borderId="17" xfId="2" applyFont="1" applyFill="1" applyBorder="1" applyAlignment="1">
      <alignment horizontal="right" vertical="center"/>
    </xf>
    <xf numFmtId="167" fontId="9" fillId="12" borderId="13" xfId="3" applyNumberFormat="1" applyFont="1" applyFill="1" applyBorder="1" applyAlignment="1">
      <alignment vertical="center"/>
    </xf>
    <xf numFmtId="167" fontId="14" fillId="10" borderId="17" xfId="3" quotePrefix="1" applyNumberFormat="1" applyFont="1" applyFill="1" applyBorder="1" applyAlignment="1">
      <alignment horizontal="right" vertical="center" wrapText="1"/>
    </xf>
    <xf numFmtId="0" fontId="7" fillId="0" borderId="3" xfId="0" applyFont="1" applyFill="1" applyBorder="1" applyAlignment="1">
      <alignment vertical="top" wrapText="1"/>
    </xf>
    <xf numFmtId="0" fontId="0" fillId="0" borderId="0" xfId="0" applyFill="1" applyBorder="1" applyAlignment="1">
      <alignment wrapText="1"/>
    </xf>
    <xf numFmtId="0" fontId="0" fillId="0" borderId="0" xfId="0" applyFill="1" applyBorder="1"/>
    <xf numFmtId="0" fontId="6" fillId="0" borderId="0" xfId="0" applyFont="1" applyFill="1" applyBorder="1" applyAlignment="1">
      <alignment horizontal="left" wrapText="1"/>
    </xf>
    <xf numFmtId="0" fontId="0" fillId="0" borderId="0" xfId="0" applyBorder="1" applyAlignment="1">
      <alignment vertical="top" wrapText="1"/>
    </xf>
    <xf numFmtId="0" fontId="8" fillId="8" borderId="0" xfId="0" applyFont="1" applyFill="1" applyBorder="1" applyAlignment="1">
      <alignment wrapText="1"/>
    </xf>
    <xf numFmtId="0" fontId="0" fillId="8" borderId="0" xfId="0" applyFill="1" applyBorder="1" applyAlignment="1">
      <alignment wrapText="1"/>
    </xf>
    <xf numFmtId="0" fontId="8" fillId="0" borderId="0" xfId="0" applyFont="1" applyFill="1" applyBorder="1" applyAlignment="1">
      <alignment horizontal="left" wrapText="1"/>
    </xf>
    <xf numFmtId="0" fontId="8" fillId="0" borderId="0" xfId="0" applyFont="1" applyFill="1" applyBorder="1" applyAlignment="1">
      <alignment wrapText="1"/>
    </xf>
    <xf numFmtId="0" fontId="22" fillId="0" borderId="0" xfId="0" applyFont="1" applyBorder="1" applyAlignment="1"/>
    <xf numFmtId="9" fontId="26" fillId="12" borderId="1" xfId="1" applyFont="1" applyFill="1" applyBorder="1" applyAlignment="1">
      <alignment horizontal="right" wrapText="1"/>
    </xf>
    <xf numFmtId="9" fontId="26" fillId="10" borderId="1" xfId="1" applyFont="1" applyFill="1" applyBorder="1" applyAlignment="1">
      <alignment horizontal="right" wrapText="1"/>
    </xf>
    <xf numFmtId="0" fontId="22" fillId="0" borderId="0" xfId="0" applyFont="1" applyFill="1" applyBorder="1" applyAlignment="1"/>
    <xf numFmtId="0" fontId="0" fillId="0" borderId="0" xfId="0" applyFill="1" applyBorder="1" applyAlignment="1">
      <alignment horizontal="center" wrapText="1"/>
    </xf>
    <xf numFmtId="0" fontId="7" fillId="0" borderId="0" xfId="0" applyFont="1" applyFill="1" applyBorder="1" applyAlignment="1">
      <alignment vertical="top" wrapText="1"/>
    </xf>
    <xf numFmtId="0" fontId="0" fillId="0" borderId="0" xfId="0" applyFont="1" applyFill="1" applyBorder="1" applyAlignment="1">
      <alignment vertical="center" wrapText="1"/>
    </xf>
    <xf numFmtId="3" fontId="0" fillId="0" borderId="0" xfId="0" applyNumberFormat="1" applyFont="1" applyFill="1" applyBorder="1" applyAlignment="1">
      <alignment vertical="center" wrapText="1"/>
    </xf>
    <xf numFmtId="0" fontId="23" fillId="0" borderId="0" xfId="0" applyFont="1" applyFill="1" applyBorder="1" applyAlignment="1">
      <alignment vertical="center"/>
    </xf>
    <xf numFmtId="3" fontId="16" fillId="0" borderId="0" xfId="0" applyNumberFormat="1" applyFont="1" applyFill="1" applyBorder="1" applyAlignment="1">
      <alignment vertical="top" wrapText="1"/>
    </xf>
    <xf numFmtId="0" fontId="16" fillId="0" borderId="0" xfId="0" applyFont="1" applyFill="1" applyBorder="1" applyAlignment="1">
      <alignment vertical="top" wrapText="1"/>
    </xf>
    <xf numFmtId="0" fontId="0" fillId="0" borderId="0" xfId="0" applyBorder="1" applyAlignment="1">
      <alignment horizontal="center" wrapText="1"/>
    </xf>
    <xf numFmtId="3" fontId="16" fillId="18" borderId="0" xfId="0" applyNumberFormat="1" applyFont="1" applyFill="1" applyBorder="1" applyAlignment="1">
      <alignment vertical="top" wrapText="1"/>
    </xf>
    <xf numFmtId="0" fontId="0" fillId="18" borderId="0" xfId="0" applyFill="1" applyBorder="1"/>
    <xf numFmtId="0" fontId="7" fillId="18" borderId="0" xfId="0" applyFont="1" applyFill="1" applyBorder="1" applyAlignment="1">
      <alignment vertical="top" wrapText="1"/>
    </xf>
    <xf numFmtId="3" fontId="0" fillId="18" borderId="0" xfId="0" applyNumberFormat="1" applyFont="1" applyFill="1" applyBorder="1" applyAlignment="1">
      <alignment vertical="center" wrapText="1"/>
    </xf>
    <xf numFmtId="0" fontId="0" fillId="18" borderId="0" xfId="0" applyFill="1"/>
    <xf numFmtId="0" fontId="0" fillId="0" borderId="1" xfId="0" applyFill="1" applyBorder="1" applyAlignment="1">
      <alignment wrapText="1"/>
    </xf>
    <xf numFmtId="0" fontId="0" fillId="0" borderId="1" xfId="0" applyBorder="1" applyAlignment="1">
      <alignment wrapText="1"/>
    </xf>
    <xf numFmtId="3" fontId="0" fillId="0" borderId="1" xfId="0" applyNumberFormat="1" applyBorder="1" applyAlignment="1">
      <alignment wrapText="1"/>
    </xf>
    <xf numFmtId="0" fontId="0" fillId="0" borderId="1" xfId="0" applyBorder="1" applyAlignment="1">
      <alignment horizontal="center" wrapText="1"/>
    </xf>
    <xf numFmtId="1" fontId="0" fillId="0" borderId="1" xfId="0" applyNumberFormat="1" applyBorder="1" applyAlignment="1">
      <alignment wrapText="1"/>
    </xf>
    <xf numFmtId="9" fontId="0" fillId="0" borderId="0" xfId="1" applyFont="1" applyBorder="1" applyAlignment="1">
      <alignment wrapText="1"/>
    </xf>
    <xf numFmtId="9" fontId="0" fillId="0" borderId="0" xfId="1" applyFont="1" applyFill="1" applyBorder="1" applyAlignment="1">
      <alignment wrapText="1"/>
    </xf>
    <xf numFmtId="9" fontId="0" fillId="0" borderId="0" xfId="1" applyFont="1" applyBorder="1" applyAlignment="1">
      <alignment horizontal="center" wrapText="1"/>
    </xf>
    <xf numFmtId="0" fontId="0" fillId="0" borderId="0" xfId="0" applyFill="1"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7" fillId="0" borderId="0" xfId="6"/>
    <xf numFmtId="0" fontId="29" fillId="0" borderId="0" xfId="6" applyFont="1" applyAlignment="1">
      <alignment vertical="center"/>
    </xf>
    <xf numFmtId="0" fontId="27" fillId="0" borderId="0" xfId="6" applyAlignment="1">
      <alignment vertical="center"/>
    </xf>
    <xf numFmtId="0" fontId="27" fillId="0" borderId="0" xfId="6" applyAlignment="1">
      <alignment horizontal="right" vertical="center"/>
    </xf>
    <xf numFmtId="0" fontId="27" fillId="0" borderId="0" xfId="6" applyAlignment="1">
      <alignment horizontal="center" vertical="center"/>
    </xf>
    <xf numFmtId="1" fontId="27" fillId="0" borderId="0" xfId="6" applyNumberFormat="1"/>
    <xf numFmtId="1" fontId="27" fillId="0" borderId="1" xfId="6" applyNumberFormat="1" applyBorder="1"/>
    <xf numFmtId="167" fontId="9" fillId="12" borderId="0" xfId="3" applyNumberFormat="1" applyFont="1" applyFill="1" applyBorder="1" applyAlignment="1">
      <alignment vertical="center"/>
    </xf>
    <xf numFmtId="167" fontId="9" fillId="12" borderId="0" xfId="3" applyNumberFormat="1" applyFont="1" applyFill="1" applyBorder="1" applyAlignment="1">
      <alignment vertical="center" wrapText="1"/>
    </xf>
    <xf numFmtId="0" fontId="5" fillId="6" borderId="10" xfId="0" applyFont="1" applyFill="1" applyBorder="1" applyAlignment="1">
      <alignment horizontal="center" vertical="top"/>
    </xf>
    <xf numFmtId="3" fontId="16" fillId="12" borderId="1" xfId="0" applyNumberFormat="1" applyFont="1" applyFill="1" applyBorder="1" applyAlignment="1">
      <alignment vertical="center" wrapText="1"/>
    </xf>
    <xf numFmtId="0" fontId="12" fillId="0" borderId="0" xfId="0" applyFont="1" applyFill="1" applyBorder="1" applyAlignment="1">
      <alignment horizontal="center" vertical="center"/>
    </xf>
    <xf numFmtId="0" fontId="12" fillId="0" borderId="0" xfId="0" applyFont="1" applyFill="1" applyBorder="1" applyAlignment="1"/>
    <xf numFmtId="0" fontId="23" fillId="0" borderId="0" xfId="0" applyFont="1" applyFill="1" applyBorder="1" applyAlignment="1">
      <alignment horizontal="center" vertical="center"/>
    </xf>
    <xf numFmtId="0" fontId="0" fillId="0" borderId="0" xfId="0" applyFill="1"/>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6" fillId="0" borderId="0" xfId="0" applyFont="1" applyFill="1" applyBorder="1" applyAlignment="1">
      <alignment horizontal="left" vertical="top" wrapText="1"/>
    </xf>
    <xf numFmtId="0" fontId="16" fillId="0" borderId="34" xfId="0" applyFont="1" applyFill="1" applyBorder="1" applyAlignment="1">
      <alignment vertical="top" wrapText="1"/>
    </xf>
    <xf numFmtId="0" fontId="0" fillId="0" borderId="0" xfId="0" applyBorder="1" applyAlignment="1">
      <alignment horizontal="center" wrapText="1"/>
    </xf>
    <xf numFmtId="0" fontId="12" fillId="0" borderId="0" xfId="0" applyFont="1" applyFill="1" applyBorder="1" applyAlignment="1">
      <alignment horizontal="center" vertical="center"/>
    </xf>
    <xf numFmtId="0" fontId="16" fillId="0" borderId="0" xfId="0" applyFont="1" applyBorder="1"/>
    <xf numFmtId="0" fontId="16" fillId="0" borderId="0" xfId="0" applyFont="1"/>
    <xf numFmtId="0" fontId="11" fillId="8" borderId="0" xfId="0" applyFont="1" applyFill="1" applyBorder="1" applyAlignment="1">
      <alignment wrapText="1"/>
    </xf>
    <xf numFmtId="0" fontId="16" fillId="0" borderId="0" xfId="0" applyFont="1" applyFill="1" applyBorder="1" applyAlignment="1">
      <alignment wrapText="1"/>
    </xf>
    <xf numFmtId="0" fontId="16" fillId="0" borderId="0" xfId="0" applyFont="1" applyFill="1" applyBorder="1"/>
    <xf numFmtId="0" fontId="11" fillId="0" borderId="0" xfId="0" applyFont="1" applyFill="1" applyBorder="1" applyAlignment="1">
      <alignment horizontal="left" wrapText="1"/>
    </xf>
    <xf numFmtId="0" fontId="11" fillId="0" borderId="0" xfId="0" applyFont="1" applyFill="1" applyBorder="1" applyAlignment="1">
      <alignment wrapText="1"/>
    </xf>
    <xf numFmtId="0" fontId="4" fillId="0" borderId="0" xfId="0" applyFont="1" applyFill="1" applyBorder="1" applyAlignment="1">
      <alignment horizontal="left" wrapText="1"/>
    </xf>
    <xf numFmtId="0" fontId="16" fillId="0" borderId="0" xfId="0" applyFont="1" applyBorder="1" applyAlignment="1">
      <alignment wrapText="1"/>
    </xf>
    <xf numFmtId="0" fontId="16" fillId="0" borderId="0" xfId="0" applyFont="1" applyBorder="1" applyAlignment="1">
      <alignment horizontal="center" wrapText="1"/>
    </xf>
    <xf numFmtId="0" fontId="23" fillId="0" borderId="0" xfId="0" applyFont="1" applyBorder="1" applyAlignment="1"/>
    <xf numFmtId="0" fontId="16" fillId="0" borderId="5" xfId="0" applyFont="1" applyBorder="1" applyAlignment="1">
      <alignment horizontal="center" wrapText="1"/>
    </xf>
    <xf numFmtId="3" fontId="16" fillId="0" borderId="0" xfId="0" applyNumberFormat="1" applyFont="1" applyFill="1" applyBorder="1" applyAlignment="1">
      <alignment vertical="center" wrapText="1"/>
    </xf>
    <xf numFmtId="3" fontId="11" fillId="0" borderId="0" xfId="0" applyNumberFormat="1" applyFont="1" applyFill="1" applyBorder="1" applyAlignment="1">
      <alignment horizontal="left" wrapText="1"/>
    </xf>
    <xf numFmtId="0" fontId="16" fillId="0" borderId="0" xfId="0" applyFont="1" applyFill="1" applyBorder="1" applyAlignment="1">
      <alignment vertical="center" wrapText="1"/>
    </xf>
    <xf numFmtId="3" fontId="16" fillId="12" borderId="9" xfId="0" applyNumberFormat="1" applyFont="1" applyFill="1" applyBorder="1"/>
    <xf numFmtId="9" fontId="16" fillId="12" borderId="9" xfId="0" applyNumberFormat="1" applyFont="1" applyFill="1" applyBorder="1"/>
    <xf numFmtId="3" fontId="16" fillId="10" borderId="9" xfId="0" applyNumberFormat="1" applyFont="1" applyFill="1" applyBorder="1"/>
    <xf numFmtId="9" fontId="16" fillId="10" borderId="9" xfId="0" applyNumberFormat="1" applyFont="1" applyFill="1" applyBorder="1"/>
    <xf numFmtId="167" fontId="9" fillId="10" borderId="13" xfId="3" applyNumberFormat="1" applyFont="1" applyFill="1" applyBorder="1" applyAlignment="1">
      <alignment vertical="center"/>
    </xf>
    <xf numFmtId="167" fontId="9" fillId="10" borderId="13" xfId="3" applyNumberFormat="1" applyFont="1" applyFill="1" applyBorder="1" applyAlignment="1">
      <alignment vertical="center" wrapText="1"/>
    </xf>
    <xf numFmtId="173" fontId="16" fillId="0" borderId="0" xfId="0" applyNumberFormat="1" applyFont="1" applyFill="1" applyBorder="1" applyAlignment="1">
      <alignment vertical="top" wrapText="1"/>
    </xf>
    <xf numFmtId="9" fontId="26" fillId="2" borderId="1" xfId="1" applyFont="1" applyFill="1" applyBorder="1" applyAlignment="1">
      <alignment horizontal="right" wrapText="1"/>
    </xf>
    <xf numFmtId="3" fontId="16" fillId="0" borderId="0" xfId="0" applyNumberFormat="1" applyFont="1" applyFill="1" applyBorder="1" applyAlignment="1">
      <alignment wrapText="1"/>
    </xf>
    <xf numFmtId="174" fontId="16" fillId="0" borderId="0" xfId="0" applyNumberFormat="1" applyFont="1" applyFill="1" applyBorder="1" applyAlignment="1">
      <alignment wrapText="1"/>
    </xf>
    <xf numFmtId="3" fontId="11" fillId="0" borderId="0" xfId="0" applyNumberFormat="1" applyFont="1" applyFill="1" applyBorder="1" applyAlignment="1">
      <alignment wrapText="1"/>
    </xf>
    <xf numFmtId="0" fontId="16" fillId="19" borderId="6" xfId="0" applyFont="1" applyFill="1" applyBorder="1" applyAlignment="1">
      <alignment vertical="top" wrapText="1"/>
    </xf>
    <xf numFmtId="0" fontId="27" fillId="7" borderId="0" xfId="6" applyFill="1"/>
    <xf numFmtId="0" fontId="30" fillId="20" borderId="23" xfId="6" applyFont="1" applyFill="1" applyBorder="1" applyAlignment="1">
      <alignment horizontal="left" vertical="center"/>
    </xf>
    <xf numFmtId="0" fontId="30" fillId="20" borderId="25" xfId="6" applyFont="1" applyFill="1" applyBorder="1" applyAlignment="1">
      <alignment horizontal="left" vertical="center"/>
    </xf>
    <xf numFmtId="0" fontId="30" fillId="20" borderId="23" xfId="6" applyFont="1" applyFill="1" applyBorder="1" applyAlignment="1">
      <alignment horizontal="left" vertical="center" wrapText="1"/>
    </xf>
    <xf numFmtId="1" fontId="30" fillId="20" borderId="23" xfId="6" applyNumberFormat="1" applyFont="1" applyFill="1" applyBorder="1" applyAlignment="1">
      <alignment horizontal="center" vertical="center" wrapText="1"/>
    </xf>
    <xf numFmtId="1" fontId="31" fillId="20" borderId="27" xfId="6" applyNumberFormat="1" applyFont="1" applyFill="1" applyBorder="1" applyAlignment="1">
      <alignment horizontal="center" vertical="center" wrapText="1"/>
    </xf>
    <xf numFmtId="0" fontId="27" fillId="20" borderId="0" xfId="6" applyFill="1"/>
    <xf numFmtId="0" fontId="27" fillId="5" borderId="0" xfId="6" applyFill="1"/>
    <xf numFmtId="0" fontId="30" fillId="20" borderId="24" xfId="6" applyFont="1" applyFill="1" applyBorder="1" applyAlignment="1">
      <alignment horizontal="left" vertical="center" wrapText="1"/>
    </xf>
    <xf numFmtId="1" fontId="30" fillId="20" borderId="26" xfId="6" applyNumberFormat="1" applyFont="1" applyFill="1" applyBorder="1" applyAlignment="1">
      <alignment horizontal="center" vertical="center" wrapText="1"/>
    </xf>
    <xf numFmtId="0" fontId="30" fillId="20" borderId="38" xfId="6" applyFont="1" applyFill="1" applyBorder="1" applyAlignment="1">
      <alignment horizontal="left" vertical="center" wrapText="1"/>
    </xf>
    <xf numFmtId="0" fontId="30" fillId="20" borderId="40" xfId="6" applyFont="1" applyFill="1" applyBorder="1" applyAlignment="1">
      <alignment horizontal="left" vertical="center" wrapText="1"/>
    </xf>
    <xf numFmtId="1" fontId="30" fillId="20" borderId="37" xfId="6" applyNumberFormat="1" applyFont="1" applyFill="1" applyBorder="1" applyAlignment="1">
      <alignment horizontal="center" vertical="center" wrapText="1"/>
    </xf>
    <xf numFmtId="0" fontId="0" fillId="0" borderId="0" xfId="0" applyBorder="1" applyAlignment="1">
      <alignment horizontal="center" wrapText="1"/>
    </xf>
    <xf numFmtId="0" fontId="16" fillId="3" borderId="1" xfId="0" applyFont="1" applyFill="1" applyBorder="1" applyAlignment="1">
      <alignment vertical="top" wrapText="1"/>
    </xf>
    <xf numFmtId="168" fontId="27" fillId="0" borderId="0" xfId="6" applyNumberFormat="1"/>
    <xf numFmtId="165" fontId="27" fillId="0" borderId="0" xfId="6" applyNumberFormat="1"/>
    <xf numFmtId="1" fontId="8" fillId="0" borderId="0" xfId="0" applyNumberFormat="1" applyFont="1" applyFill="1" applyBorder="1" applyAlignment="1">
      <alignment wrapText="1"/>
    </xf>
    <xf numFmtId="175" fontId="8" fillId="8" borderId="0" xfId="0" applyNumberFormat="1" applyFont="1" applyFill="1" applyBorder="1" applyAlignment="1">
      <alignment wrapText="1"/>
    </xf>
    <xf numFmtId="175" fontId="6" fillId="0" borderId="0" xfId="0" applyNumberFormat="1" applyFont="1" applyFill="1" applyBorder="1" applyAlignment="1">
      <alignment horizontal="left" wrapText="1"/>
    </xf>
    <xf numFmtId="1" fontId="16" fillId="3" borderId="1" xfId="0" applyNumberFormat="1" applyFont="1" applyFill="1" applyBorder="1" applyAlignment="1">
      <alignment vertical="top" wrapText="1"/>
    </xf>
    <xf numFmtId="4" fontId="8" fillId="0" borderId="0" xfId="0" applyNumberFormat="1" applyFont="1" applyFill="1" applyBorder="1" applyAlignment="1">
      <alignment wrapText="1"/>
    </xf>
    <xf numFmtId="1" fontId="8" fillId="8" borderId="0" xfId="0" applyNumberFormat="1" applyFont="1" applyFill="1" applyBorder="1" applyAlignment="1">
      <alignment wrapText="1"/>
    </xf>
    <xf numFmtId="1" fontId="16" fillId="10" borderId="6" xfId="0" applyNumberFormat="1" applyFont="1" applyFill="1" applyBorder="1" applyAlignment="1">
      <alignment vertical="top" wrapText="1"/>
    </xf>
    <xf numFmtId="1" fontId="16" fillId="10" borderId="1" xfId="0" applyNumberFormat="1" applyFont="1" applyFill="1" applyBorder="1" applyAlignment="1">
      <alignment vertical="top" wrapText="1"/>
    </xf>
    <xf numFmtId="1" fontId="6" fillId="0" borderId="0" xfId="0" applyNumberFormat="1" applyFont="1" applyFill="1" applyBorder="1" applyAlignment="1">
      <alignment horizontal="left" wrapText="1"/>
    </xf>
    <xf numFmtId="3" fontId="27" fillId="0" borderId="0" xfId="6" applyNumberFormat="1"/>
    <xf numFmtId="3" fontId="0" fillId="0" borderId="0" xfId="0" applyNumberFormat="1" applyBorder="1"/>
    <xf numFmtId="3" fontId="16" fillId="19" borderId="1" xfId="0" applyNumberFormat="1" applyFont="1" applyFill="1" applyBorder="1" applyAlignment="1">
      <alignment vertical="top" wrapText="1"/>
    </xf>
    <xf numFmtId="0" fontId="16" fillId="7" borderId="1" xfId="0" applyFont="1" applyFill="1" applyBorder="1" applyAlignment="1">
      <alignment vertical="top" wrapText="1"/>
    </xf>
    <xf numFmtId="3" fontId="16" fillId="7" borderId="1" xfId="0" applyNumberFormat="1" applyFont="1" applyFill="1" applyBorder="1" applyAlignment="1">
      <alignment vertical="top" wrapText="1"/>
    </xf>
    <xf numFmtId="0" fontId="5" fillId="14" borderId="44" xfId="0" applyFont="1" applyFill="1" applyBorder="1" applyAlignment="1">
      <alignment horizontal="center" vertical="center"/>
    </xf>
    <xf numFmtId="0" fontId="16" fillId="11" borderId="1" xfId="0" applyFont="1" applyFill="1" applyBorder="1" applyAlignment="1">
      <alignment vertical="top" wrapText="1"/>
    </xf>
    <xf numFmtId="0" fontId="0" fillId="11" borderId="1" xfId="0" applyFont="1" applyFill="1" applyBorder="1" applyAlignment="1">
      <alignment vertical="center" wrapText="1"/>
    </xf>
    <xf numFmtId="0" fontId="5" fillId="23" borderId="10" xfId="0" applyFont="1" applyFill="1" applyBorder="1" applyAlignment="1">
      <alignment horizontal="center" vertical="top"/>
    </xf>
    <xf numFmtId="0" fontId="5" fillId="24" borderId="10" xfId="0" applyFont="1" applyFill="1" applyBorder="1" applyAlignment="1">
      <alignment horizontal="center" vertical="top"/>
    </xf>
    <xf numFmtId="0" fontId="16" fillId="25" borderId="6" xfId="0" applyFont="1" applyFill="1" applyBorder="1" applyAlignment="1">
      <alignment vertical="top" wrapText="1"/>
    </xf>
    <xf numFmtId="3" fontId="16" fillId="25" borderId="1" xfId="0" applyNumberFormat="1" applyFont="1" applyFill="1" applyBorder="1" applyAlignment="1">
      <alignment vertical="top" wrapText="1"/>
    </xf>
    <xf numFmtId="0" fontId="0" fillId="7" borderId="0" xfId="0" applyFill="1" applyBorder="1"/>
    <xf numFmtId="0" fontId="11" fillId="7" borderId="0" xfId="0" applyFont="1" applyFill="1" applyBorder="1" applyAlignment="1">
      <alignment vertical="center" wrapText="1"/>
    </xf>
    <xf numFmtId="0" fontId="8" fillId="7" borderId="0" xfId="0" applyFont="1" applyFill="1" applyBorder="1" applyAlignment="1">
      <alignment vertical="center" wrapText="1"/>
    </xf>
    <xf numFmtId="0" fontId="5" fillId="14" borderId="43" xfId="0" applyFont="1" applyFill="1" applyBorder="1" applyAlignment="1">
      <alignment horizontal="center" vertical="center"/>
    </xf>
    <xf numFmtId="0" fontId="5" fillId="14" borderId="1" xfId="0" applyFont="1" applyFill="1" applyBorder="1" applyAlignment="1">
      <alignment horizontal="center" vertical="center"/>
    </xf>
    <xf numFmtId="0" fontId="5" fillId="14" borderId="46" xfId="0" applyFont="1" applyFill="1" applyBorder="1" applyAlignment="1">
      <alignment horizontal="center" vertical="center"/>
    </xf>
    <xf numFmtId="3" fontId="16" fillId="12" borderId="3" xfId="0" applyNumberFormat="1" applyFont="1" applyFill="1" applyBorder="1" applyAlignment="1">
      <alignment vertical="top" wrapText="1"/>
    </xf>
    <xf numFmtId="0" fontId="5" fillId="24" borderId="10" xfId="0" applyFont="1" applyFill="1" applyBorder="1" applyAlignment="1">
      <alignment horizontal="center" vertical="top" wrapText="1"/>
    </xf>
    <xf numFmtId="0" fontId="12" fillId="15" borderId="1" xfId="0" applyFont="1" applyFill="1" applyBorder="1" applyAlignment="1">
      <alignment horizontal="right" vertical="top"/>
    </xf>
    <xf numFmtId="0" fontId="12" fillId="14" borderId="1" xfId="0" applyFont="1" applyFill="1" applyBorder="1" applyAlignment="1">
      <alignment horizontal="right" vertical="top" wrapText="1"/>
    </xf>
    <xf numFmtId="0" fontId="12" fillId="16" borderId="1" xfId="0" applyFont="1" applyFill="1" applyBorder="1" applyAlignment="1">
      <alignment horizontal="right" vertical="top" wrapText="1"/>
    </xf>
    <xf numFmtId="3" fontId="26" fillId="2" borderId="1" xfId="0" applyNumberFormat="1" applyFont="1" applyFill="1" applyBorder="1" applyAlignment="1">
      <alignment horizontal="right" wrapText="1"/>
    </xf>
    <xf numFmtId="3" fontId="26" fillId="12" borderId="1" xfId="0" applyNumberFormat="1" applyFont="1" applyFill="1" applyBorder="1" applyAlignment="1">
      <alignment horizontal="right" wrapText="1"/>
    </xf>
    <xf numFmtId="3" fontId="26" fillId="10" borderId="1" xfId="0" applyNumberFormat="1" applyFont="1" applyFill="1" applyBorder="1" applyAlignment="1">
      <alignment horizontal="right" wrapText="1"/>
    </xf>
    <xf numFmtId="0" fontId="16" fillId="18" borderId="1" xfId="0" applyFont="1" applyFill="1" applyBorder="1" applyAlignment="1">
      <alignment vertical="top" wrapText="1"/>
    </xf>
    <xf numFmtId="0" fontId="12" fillId="14" borderId="1" xfId="0" applyFont="1" applyFill="1" applyBorder="1" applyAlignment="1">
      <alignment horizontal="right" vertical="top"/>
    </xf>
    <xf numFmtId="0" fontId="12" fillId="24" borderId="1" xfId="0" applyFont="1" applyFill="1" applyBorder="1" applyAlignment="1">
      <alignment horizontal="right" vertical="top" wrapText="1"/>
    </xf>
    <xf numFmtId="3" fontId="26" fillId="25" borderId="1" xfId="0" applyNumberFormat="1" applyFont="1" applyFill="1" applyBorder="1" applyAlignment="1">
      <alignment horizontal="right" wrapText="1"/>
    </xf>
    <xf numFmtId="0" fontId="16" fillId="18" borderId="6" xfId="0" applyFont="1" applyFill="1" applyBorder="1" applyAlignment="1">
      <alignment vertical="top" wrapText="1"/>
    </xf>
    <xf numFmtId="0" fontId="0" fillId="0" borderId="1" xfId="0" applyBorder="1"/>
    <xf numFmtId="0" fontId="7" fillId="0" borderId="1" xfId="0" applyFont="1" applyFill="1" applyBorder="1" applyAlignment="1">
      <alignment vertical="top" wrapText="1"/>
    </xf>
    <xf numFmtId="3" fontId="26" fillId="25" borderId="1" xfId="0" applyNumberFormat="1" applyFont="1" applyFill="1" applyBorder="1" applyAlignment="1">
      <alignment wrapText="1"/>
    </xf>
    <xf numFmtId="0" fontId="12" fillId="24" borderId="1" xfId="0" applyFont="1" applyFill="1" applyBorder="1" applyAlignment="1">
      <alignment vertical="top" wrapText="1"/>
    </xf>
    <xf numFmtId="9" fontId="26" fillId="25" borderId="1" xfId="1" applyFont="1" applyFill="1" applyBorder="1" applyAlignment="1">
      <alignment wrapText="1"/>
    </xf>
    <xf numFmtId="0" fontId="25" fillId="0" borderId="0" xfId="0" applyFont="1" applyFill="1" applyBorder="1" applyAlignment="1">
      <alignment horizontal="center" vertical="top" wrapText="1"/>
    </xf>
    <xf numFmtId="3" fontId="26" fillId="0" borderId="0" xfId="0" applyNumberFormat="1" applyFont="1" applyFill="1" applyBorder="1" applyAlignment="1">
      <alignment horizontal="center" wrapText="1"/>
    </xf>
    <xf numFmtId="0" fontId="5" fillId="9" borderId="10" xfId="0" applyFont="1" applyFill="1" applyBorder="1" applyAlignment="1">
      <alignment horizontal="center" vertical="top" wrapText="1"/>
    </xf>
    <xf numFmtId="3" fontId="16" fillId="10" borderId="6" xfId="0" applyNumberFormat="1" applyFont="1" applyFill="1" applyBorder="1" applyAlignment="1">
      <alignment vertical="top" wrapText="1"/>
    </xf>
    <xf numFmtId="3" fontId="16" fillId="12" borderId="6" xfId="0" applyNumberFormat="1" applyFont="1" applyFill="1" applyBorder="1" applyAlignment="1">
      <alignment vertical="top" wrapText="1"/>
    </xf>
    <xf numFmtId="3" fontId="16" fillId="11" borderId="6" xfId="0" applyNumberFormat="1" applyFont="1" applyFill="1" applyBorder="1" applyAlignment="1">
      <alignment vertical="top" wrapText="1"/>
    </xf>
    <xf numFmtId="1" fontId="16" fillId="25" borderId="6" xfId="0" applyNumberFormat="1" applyFont="1" applyFill="1" applyBorder="1" applyAlignment="1">
      <alignment vertical="top" wrapText="1"/>
    </xf>
    <xf numFmtId="0" fontId="5" fillId="6" borderId="10" xfId="0" applyFont="1" applyFill="1" applyBorder="1" applyAlignment="1">
      <alignment horizontal="center" vertical="top" wrapText="1"/>
    </xf>
    <xf numFmtId="0" fontId="16" fillId="8" borderId="0" xfId="0" applyFont="1" applyFill="1" applyBorder="1" applyAlignment="1">
      <alignment vertical="top" wrapText="1"/>
    </xf>
    <xf numFmtId="0" fontId="16" fillId="8" borderId="0" xfId="0" applyFont="1" applyFill="1" applyBorder="1"/>
    <xf numFmtId="3" fontId="16" fillId="8" borderId="0" xfId="0" applyNumberFormat="1" applyFont="1" applyFill="1" applyBorder="1" applyAlignment="1">
      <alignment wrapText="1"/>
    </xf>
    <xf numFmtId="0" fontId="16" fillId="8" borderId="0" xfId="0" applyFont="1" applyFill="1" applyBorder="1" applyAlignment="1">
      <alignment wrapText="1"/>
    </xf>
    <xf numFmtId="3" fontId="16" fillId="8" borderId="0" xfId="0" applyNumberFormat="1" applyFont="1" applyFill="1" applyBorder="1"/>
    <xf numFmtId="3" fontId="0" fillId="8" borderId="0" xfId="0" applyNumberFormat="1" applyFill="1" applyBorder="1"/>
    <xf numFmtId="0" fontId="0" fillId="8" borderId="0" xfId="0" applyFill="1"/>
    <xf numFmtId="0" fontId="23" fillId="8" borderId="0" xfId="0" applyFont="1" applyFill="1" applyBorder="1" applyAlignment="1">
      <alignment horizontal="center" vertical="center"/>
    </xf>
    <xf numFmtId="0" fontId="30" fillId="2" borderId="25" xfId="6" applyFont="1" applyFill="1" applyBorder="1" applyAlignment="1">
      <alignment horizontal="left" vertical="center"/>
    </xf>
    <xf numFmtId="0" fontId="30" fillId="2" borderId="23" xfId="6" applyFont="1" applyFill="1" applyBorder="1" applyAlignment="1">
      <alignment horizontal="left" vertical="center" wrapText="1"/>
    </xf>
    <xf numFmtId="0" fontId="27" fillId="2" borderId="0" xfId="6" applyFill="1"/>
    <xf numFmtId="3" fontId="30" fillId="2" borderId="23" xfId="6" applyNumberFormat="1" applyFont="1" applyFill="1" applyBorder="1" applyAlignment="1">
      <alignment horizontal="left" vertical="center" wrapText="1"/>
    </xf>
    <xf numFmtId="1" fontId="30" fillId="2" borderId="23" xfId="6" applyNumberFormat="1" applyFont="1" applyFill="1" applyBorder="1" applyAlignment="1">
      <alignment horizontal="center" vertical="center" wrapText="1"/>
    </xf>
    <xf numFmtId="1" fontId="31" fillId="2" borderId="27" xfId="6" applyNumberFormat="1" applyFont="1" applyFill="1" applyBorder="1" applyAlignment="1">
      <alignment horizontal="center" vertical="center" wrapText="1"/>
    </xf>
    <xf numFmtId="1" fontId="16" fillId="12" borderId="6" xfId="0" applyNumberFormat="1" applyFont="1" applyFill="1" applyBorder="1" applyAlignment="1">
      <alignment vertical="top" wrapText="1"/>
    </xf>
    <xf numFmtId="1" fontId="27" fillId="0" borderId="0" xfId="6" applyNumberFormat="1" applyBorder="1"/>
    <xf numFmtId="9" fontId="26" fillId="25" borderId="1" xfId="1" applyFont="1" applyFill="1" applyBorder="1" applyAlignment="1">
      <alignment horizontal="right" wrapText="1"/>
    </xf>
    <xf numFmtId="0" fontId="12" fillId="26" borderId="1" xfId="0" applyFont="1" applyFill="1" applyBorder="1" applyAlignment="1">
      <alignment horizontal="right" vertical="top"/>
    </xf>
    <xf numFmtId="3" fontId="16" fillId="25" borderId="9" xfId="0" applyNumberFormat="1" applyFont="1" applyFill="1" applyBorder="1"/>
    <xf numFmtId="9" fontId="16" fillId="25" borderId="9" xfId="0" applyNumberFormat="1" applyFont="1" applyFill="1" applyBorder="1"/>
    <xf numFmtId="9" fontId="17" fillId="19" borderId="16" xfId="1" applyFont="1" applyFill="1" applyBorder="1" applyAlignment="1">
      <alignment vertical="center"/>
    </xf>
    <xf numFmtId="9" fontId="17" fillId="12" borderId="16" xfId="1" applyFont="1" applyFill="1" applyBorder="1" applyAlignment="1">
      <alignment vertical="center"/>
    </xf>
    <xf numFmtId="0" fontId="14" fillId="22" borderId="17" xfId="2" applyFont="1" applyFill="1" applyBorder="1" applyAlignment="1">
      <alignment horizontal="right" vertical="center"/>
    </xf>
    <xf numFmtId="9" fontId="17" fillId="3" borderId="16" xfId="1" applyFont="1" applyFill="1" applyBorder="1" applyAlignment="1">
      <alignment vertical="center"/>
    </xf>
    <xf numFmtId="0" fontId="14" fillId="25" borderId="5" xfId="2" applyFont="1" applyFill="1" applyBorder="1" applyAlignment="1">
      <alignment horizontal="right" vertical="center"/>
    </xf>
    <xf numFmtId="172" fontId="14" fillId="25" borderId="17" xfId="3" applyNumberFormat="1" applyFont="1" applyFill="1" applyBorder="1" applyAlignment="1">
      <alignment horizontal="right" vertical="center" wrapText="1"/>
    </xf>
    <xf numFmtId="167" fontId="9" fillId="25" borderId="13" xfId="3" applyNumberFormat="1" applyFont="1" applyFill="1" applyBorder="1" applyAlignment="1">
      <alignment vertical="center"/>
    </xf>
    <xf numFmtId="167" fontId="38" fillId="10" borderId="16" xfId="5" applyNumberFormat="1" applyFont="1" applyFill="1" applyBorder="1"/>
    <xf numFmtId="167" fontId="38" fillId="25" borderId="16" xfId="5" applyNumberFormat="1" applyFont="1" applyFill="1" applyBorder="1"/>
    <xf numFmtId="167" fontId="13" fillId="8" borderId="0" xfId="3" applyNumberFormat="1" applyFont="1" applyFill="1" applyBorder="1" applyAlignment="1">
      <alignment vertical="center"/>
    </xf>
    <xf numFmtId="167" fontId="14" fillId="12" borderId="13" xfId="3" applyNumberFormat="1" applyFont="1" applyFill="1" applyBorder="1" applyAlignment="1">
      <alignment horizontal="right" vertical="center"/>
    </xf>
    <xf numFmtId="0" fontId="14" fillId="8" borderId="9" xfId="2" applyFont="1" applyFill="1" applyBorder="1" applyAlignment="1">
      <alignment vertical="center"/>
    </xf>
    <xf numFmtId="167" fontId="13" fillId="8" borderId="9" xfId="3" applyNumberFormat="1" applyFont="1" applyFill="1" applyBorder="1" applyAlignment="1">
      <alignment vertical="center"/>
    </xf>
    <xf numFmtId="167" fontId="13" fillId="12" borderId="15" xfId="3" applyNumberFormat="1" applyFont="1" applyFill="1" applyBorder="1" applyAlignment="1">
      <alignment vertical="center"/>
    </xf>
    <xf numFmtId="167" fontId="13" fillId="10" borderId="47" xfId="3" applyNumberFormat="1" applyFont="1" applyFill="1" applyBorder="1" applyAlignment="1">
      <alignment vertical="center"/>
    </xf>
    <xf numFmtId="0" fontId="30" fillId="20" borderId="27" xfId="6" applyFont="1" applyFill="1" applyBorder="1" applyAlignment="1">
      <alignment horizontal="left" vertical="center" wrapText="1"/>
    </xf>
    <xf numFmtId="1" fontId="30" fillId="20" borderId="27" xfId="6" applyNumberFormat="1" applyFont="1" applyFill="1" applyBorder="1" applyAlignment="1">
      <alignment horizontal="center" vertical="center" wrapText="1"/>
    </xf>
    <xf numFmtId="1" fontId="28" fillId="7" borderId="1" xfId="6" applyNumberFormat="1" applyFont="1" applyFill="1" applyBorder="1"/>
    <xf numFmtId="1" fontId="27" fillId="2" borderId="1" xfId="6" applyNumberFormat="1" applyFill="1" applyBorder="1"/>
    <xf numFmtId="0" fontId="31" fillId="20" borderId="1" xfId="6" applyFont="1" applyFill="1" applyBorder="1" applyAlignment="1">
      <alignment horizontal="left" vertical="center" wrapText="1"/>
    </xf>
    <xf numFmtId="1" fontId="27" fillId="0" borderId="4" xfId="6" applyNumberFormat="1" applyBorder="1"/>
    <xf numFmtId="0" fontId="27" fillId="0" borderId="0" xfId="6" applyBorder="1"/>
    <xf numFmtId="0" fontId="31" fillId="20" borderId="44" xfId="6" applyFont="1" applyFill="1" applyBorder="1" applyAlignment="1">
      <alignment horizontal="left" vertical="center" wrapText="1"/>
    </xf>
    <xf numFmtId="0" fontId="28" fillId="20" borderId="46" xfId="6" applyFont="1" applyFill="1" applyBorder="1" applyAlignment="1">
      <alignment horizontal="left" vertical="center"/>
    </xf>
    <xf numFmtId="1" fontId="28" fillId="5" borderId="1" xfId="6" applyNumberFormat="1" applyFont="1" applyFill="1" applyBorder="1" applyAlignment="1">
      <alignment horizontal="left"/>
    </xf>
    <xf numFmtId="1" fontId="27" fillId="0" borderId="1" xfId="6" applyNumberFormat="1" applyBorder="1" applyAlignment="1">
      <alignment horizontal="left"/>
    </xf>
    <xf numFmtId="0" fontId="28" fillId="20" borderId="1" xfId="6" applyFont="1" applyFill="1" applyBorder="1" applyAlignment="1">
      <alignment vertical="center"/>
    </xf>
    <xf numFmtId="0" fontId="31" fillId="20" borderId="4" xfId="6" applyFont="1" applyFill="1" applyBorder="1" applyAlignment="1">
      <alignment horizontal="left" vertical="center" wrapText="1"/>
    </xf>
    <xf numFmtId="3" fontId="16" fillId="7" borderId="6" xfId="0" applyNumberFormat="1" applyFont="1" applyFill="1" applyBorder="1" applyAlignment="1">
      <alignment vertical="top" wrapText="1"/>
    </xf>
    <xf numFmtId="3" fontId="0" fillId="7" borderId="1" xfId="0" applyNumberFormat="1" applyFill="1" applyBorder="1" applyAlignment="1">
      <alignment vertical="top"/>
    </xf>
    <xf numFmtId="3" fontId="23" fillId="0" borderId="0" xfId="0" applyNumberFormat="1" applyFont="1" applyFill="1" applyBorder="1" applyAlignment="1">
      <alignment vertical="center"/>
    </xf>
    <xf numFmtId="1" fontId="7" fillId="0" borderId="0" xfId="0" applyNumberFormat="1" applyFont="1" applyFill="1" applyBorder="1" applyAlignment="1">
      <alignment vertical="top" wrapText="1"/>
    </xf>
    <xf numFmtId="1" fontId="0" fillId="0" borderId="0" xfId="0" applyNumberFormat="1" applyBorder="1" applyAlignment="1">
      <alignment wrapText="1"/>
    </xf>
    <xf numFmtId="0" fontId="0" fillId="7" borderId="1" xfId="0" applyFill="1" applyBorder="1"/>
    <xf numFmtId="0" fontId="1" fillId="7" borderId="10" xfId="0" applyFont="1" applyFill="1" applyBorder="1"/>
    <xf numFmtId="3" fontId="0" fillId="7" borderId="1" xfId="0" applyNumberFormat="1" applyFill="1" applyBorder="1" applyAlignment="1">
      <alignment horizontal="left" vertical="top"/>
    </xf>
    <xf numFmtId="0" fontId="0" fillId="7" borderId="6" xfId="0" applyFill="1" applyBorder="1" applyAlignment="1">
      <alignment horizontal="left" vertical="top"/>
    </xf>
    <xf numFmtId="1" fontId="0" fillId="0" borderId="1" xfId="0" applyNumberFormat="1" applyBorder="1" applyAlignment="1">
      <alignment horizontal="right" wrapText="1"/>
    </xf>
    <xf numFmtId="3" fontId="0" fillId="0" borderId="1" xfId="0" applyNumberFormat="1" applyBorder="1" applyAlignment="1">
      <alignment horizontal="right" wrapText="1"/>
    </xf>
    <xf numFmtId="0" fontId="0" fillId="7" borderId="6" xfId="0" applyFill="1" applyBorder="1" applyAlignment="1">
      <alignment vertical="top"/>
    </xf>
    <xf numFmtId="3" fontId="16" fillId="3" borderId="6" xfId="0" applyNumberFormat="1" applyFont="1" applyFill="1" applyBorder="1" applyAlignment="1">
      <alignment vertical="top" wrapText="1"/>
    </xf>
    <xf numFmtId="3" fontId="16" fillId="25" borderId="6" xfId="0" applyNumberFormat="1" applyFont="1" applyFill="1" applyBorder="1" applyAlignment="1">
      <alignment vertical="top" wrapText="1"/>
    </xf>
    <xf numFmtId="3" fontId="16" fillId="19" borderId="6" xfId="0" applyNumberFormat="1" applyFont="1" applyFill="1" applyBorder="1" applyAlignment="1">
      <alignment vertical="top" wrapText="1"/>
    </xf>
    <xf numFmtId="3" fontId="0" fillId="7" borderId="6" xfId="0" applyNumberFormat="1" applyFill="1" applyBorder="1" applyAlignment="1">
      <alignment vertical="top"/>
    </xf>
    <xf numFmtId="3" fontId="0" fillId="7" borderId="1" xfId="0" applyNumberFormat="1" applyFill="1" applyBorder="1" applyAlignment="1">
      <alignment horizontal="right" vertical="top"/>
    </xf>
    <xf numFmtId="169" fontId="0" fillId="7" borderId="1" xfId="0" applyNumberFormat="1" applyFill="1" applyBorder="1" applyAlignment="1">
      <alignment vertical="top"/>
    </xf>
    <xf numFmtId="169" fontId="0" fillId="10" borderId="1" xfId="0" applyNumberFormat="1" applyFill="1" applyBorder="1" applyAlignment="1">
      <alignment vertical="top"/>
    </xf>
    <xf numFmtId="169" fontId="16" fillId="25" borderId="1" xfId="0" applyNumberFormat="1" applyFont="1" applyFill="1" applyBorder="1" applyAlignment="1">
      <alignment vertical="top" wrapText="1"/>
    </xf>
    <xf numFmtId="4" fontId="0" fillId="0" borderId="0" xfId="0" applyNumberFormat="1" applyFont="1" applyFill="1" applyBorder="1" applyAlignment="1">
      <alignment vertical="center" wrapText="1"/>
    </xf>
    <xf numFmtId="0" fontId="12" fillId="5" borderId="0" xfId="0" applyFont="1" applyFill="1" applyBorder="1" applyAlignment="1">
      <alignment horizontal="left" vertical="center"/>
    </xf>
    <xf numFmtId="0" fontId="16" fillId="18" borderId="0" xfId="0" applyFont="1" applyFill="1" applyBorder="1"/>
    <xf numFmtId="0" fontId="5" fillId="6" borderId="10"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6" borderId="46"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16" fillId="7" borderId="8" xfId="0" applyFont="1" applyFill="1" applyBorder="1" applyAlignment="1">
      <alignment horizontal="left" vertical="top" wrapText="1"/>
    </xf>
    <xf numFmtId="0" fontId="39" fillId="0" borderId="0" xfId="0" applyFont="1" applyFill="1" applyBorder="1" applyAlignment="1">
      <alignment horizontal="left" wrapText="1"/>
    </xf>
    <xf numFmtId="0" fontId="7" fillId="0" borderId="0" xfId="0" applyFont="1" applyFill="1" applyBorder="1" applyAlignment="1">
      <alignment horizontal="left" wrapText="1"/>
    </xf>
    <xf numFmtId="0" fontId="16" fillId="7" borderId="1" xfId="0" applyFont="1" applyFill="1" applyBorder="1" applyAlignment="1">
      <alignment horizontal="left" vertical="top" wrapText="1"/>
    </xf>
    <xf numFmtId="164" fontId="13" fillId="25" borderId="47" xfId="3" applyNumberFormat="1" applyFont="1" applyFill="1" applyBorder="1" applyAlignment="1">
      <alignment vertical="center"/>
    </xf>
    <xf numFmtId="166" fontId="27" fillId="0" borderId="0" xfId="6" applyNumberFormat="1"/>
    <xf numFmtId="0" fontId="23" fillId="4" borderId="1" xfId="0" applyFont="1" applyFill="1" applyBorder="1" applyAlignment="1">
      <alignment vertical="center"/>
    </xf>
    <xf numFmtId="0" fontId="28" fillId="20" borderId="1" xfId="6" applyFont="1" applyFill="1" applyBorder="1" applyAlignment="1">
      <alignment horizontal="left" vertical="center"/>
    </xf>
    <xf numFmtId="2" fontId="27" fillId="0" borderId="0" xfId="6" applyNumberFormat="1"/>
    <xf numFmtId="167" fontId="9" fillId="25" borderId="0" xfId="3" applyNumberFormat="1" applyFont="1" applyFill="1" applyBorder="1" applyAlignment="1">
      <alignment vertical="center"/>
    </xf>
    <xf numFmtId="167" fontId="9" fillId="25" borderId="0" xfId="3" applyNumberFormat="1" applyFont="1" applyFill="1" applyBorder="1" applyAlignment="1">
      <alignment vertical="center" wrapText="1"/>
    </xf>
    <xf numFmtId="1" fontId="28" fillId="7" borderId="43" xfId="6" applyNumberFormat="1" applyFont="1" applyFill="1" applyBorder="1"/>
    <xf numFmtId="1" fontId="28" fillId="7" borderId="44" xfId="6" applyNumberFormat="1" applyFont="1" applyFill="1" applyBorder="1"/>
    <xf numFmtId="0" fontId="28" fillId="20" borderId="7" xfId="6" applyFont="1" applyFill="1" applyBorder="1" applyAlignment="1">
      <alignment horizontal="left" vertical="center"/>
    </xf>
    <xf numFmtId="0" fontId="31" fillId="20" borderId="6" xfId="6" applyFont="1" applyFill="1" applyBorder="1" applyAlignment="1">
      <alignment horizontal="left" vertical="center" wrapText="1"/>
    </xf>
    <xf numFmtId="1" fontId="30" fillId="5" borderId="49" xfId="6" applyNumberFormat="1" applyFont="1" applyFill="1" applyBorder="1"/>
    <xf numFmtId="1" fontId="30" fillId="5" borderId="10" xfId="6" applyNumberFormat="1" applyFont="1" applyFill="1" applyBorder="1"/>
    <xf numFmtId="0" fontId="28" fillId="20" borderId="1" xfId="6" applyFont="1" applyFill="1" applyBorder="1"/>
    <xf numFmtId="1" fontId="28" fillId="20" borderId="1" xfId="6" applyNumberFormat="1" applyFont="1" applyFill="1" applyBorder="1"/>
    <xf numFmtId="1" fontId="40" fillId="0" borderId="0" xfId="6" applyNumberFormat="1" applyFont="1"/>
    <xf numFmtId="0" fontId="40" fillId="0" borderId="0" xfId="6" applyFont="1"/>
    <xf numFmtId="0" fontId="28" fillId="20" borderId="0" xfId="6" applyFont="1" applyFill="1"/>
    <xf numFmtId="1" fontId="28" fillId="20" borderId="0" xfId="6" applyNumberFormat="1" applyFont="1" applyFill="1"/>
    <xf numFmtId="0" fontId="12" fillId="5" borderId="2" xfId="0" applyFont="1" applyFill="1" applyBorder="1" applyAlignment="1"/>
    <xf numFmtId="0" fontId="12" fillId="5" borderId="43" xfId="0" applyFont="1" applyFill="1" applyBorder="1" applyAlignment="1"/>
    <xf numFmtId="0" fontId="16" fillId="18" borderId="45" xfId="0" applyFont="1" applyFill="1" applyBorder="1"/>
    <xf numFmtId="0" fontId="16" fillId="2" borderId="5" xfId="0" applyFont="1" applyFill="1" applyBorder="1"/>
    <xf numFmtId="0" fontId="16" fillId="2" borderId="7" xfId="0" applyFont="1" applyFill="1" applyBorder="1"/>
    <xf numFmtId="0" fontId="41" fillId="2" borderId="23" xfId="6" applyFont="1" applyFill="1" applyBorder="1" applyAlignment="1">
      <alignment horizontal="left" vertical="center" wrapText="1"/>
    </xf>
    <xf numFmtId="0" fontId="30" fillId="18" borderId="0" xfId="6" applyFont="1" applyFill="1" applyBorder="1" applyAlignment="1">
      <alignment horizontal="left" vertical="center" wrapText="1"/>
    </xf>
    <xf numFmtId="0" fontId="27" fillId="18" borderId="0" xfId="6" applyFill="1" applyBorder="1"/>
    <xf numFmtId="1" fontId="27" fillId="18" borderId="0" xfId="6" applyNumberFormat="1" applyFill="1" applyBorder="1"/>
    <xf numFmtId="0" fontId="31" fillId="18" borderId="0" xfId="6" applyFont="1" applyFill="1" applyBorder="1" applyAlignment="1">
      <alignment horizontal="left" vertical="center" wrapText="1"/>
    </xf>
    <xf numFmtId="1" fontId="27" fillId="5" borderId="1" xfId="6" applyNumberFormat="1" applyFill="1" applyBorder="1"/>
    <xf numFmtId="3" fontId="28" fillId="7" borderId="1" xfId="6" applyNumberFormat="1" applyFont="1" applyFill="1" applyBorder="1" applyAlignment="1"/>
    <xf numFmtId="0" fontId="28" fillId="7" borderId="1" xfId="6" applyFont="1" applyFill="1" applyBorder="1"/>
    <xf numFmtId="1" fontId="16" fillId="11" borderId="6" xfId="0" applyNumberFormat="1" applyFont="1" applyFill="1" applyBorder="1" applyAlignment="1">
      <alignment vertical="top" wrapText="1"/>
    </xf>
    <xf numFmtId="1" fontId="16" fillId="7" borderId="1" xfId="0" applyNumberFormat="1" applyFont="1" applyFill="1" applyBorder="1" applyAlignment="1">
      <alignment vertical="top" wrapText="1"/>
    </xf>
    <xf numFmtId="1" fontId="16" fillId="25" borderId="1" xfId="0" applyNumberFormat="1" applyFont="1" applyFill="1" applyBorder="1" applyAlignment="1">
      <alignment vertical="top" wrapText="1"/>
    </xf>
    <xf numFmtId="0" fontId="16" fillId="25" borderId="1" xfId="0" applyFont="1" applyFill="1" applyBorder="1" applyAlignment="1">
      <alignment vertical="top" wrapText="1"/>
    </xf>
    <xf numFmtId="0" fontId="5" fillId="23" borderId="10" xfId="0" applyFont="1" applyFill="1" applyBorder="1" applyAlignment="1">
      <alignment horizontal="center" vertical="top" wrapText="1"/>
    </xf>
    <xf numFmtId="1" fontId="16" fillId="19" borderId="1" xfId="0" applyNumberFormat="1" applyFont="1" applyFill="1" applyBorder="1" applyAlignment="1">
      <alignment vertical="top" wrapText="1"/>
    </xf>
    <xf numFmtId="0" fontId="16" fillId="19" borderId="1" xfId="0" applyFont="1" applyFill="1" applyBorder="1" applyAlignment="1">
      <alignment vertical="top" wrapText="1"/>
    </xf>
    <xf numFmtId="1" fontId="16" fillId="12" borderId="1" xfId="0" applyNumberFormat="1" applyFont="1" applyFill="1" applyBorder="1" applyAlignment="1">
      <alignment vertical="top" wrapText="1"/>
    </xf>
    <xf numFmtId="1" fontId="16" fillId="11" borderId="1" xfId="0" applyNumberFormat="1" applyFont="1" applyFill="1" applyBorder="1" applyAlignment="1">
      <alignment vertical="top" wrapText="1"/>
    </xf>
    <xf numFmtId="1" fontId="30" fillId="2" borderId="1" xfId="6" applyNumberFormat="1" applyFont="1" applyFill="1" applyBorder="1"/>
    <xf numFmtId="3" fontId="0" fillId="0" borderId="0" xfId="0" applyNumberFormat="1" applyFill="1" applyBorder="1" applyAlignment="1">
      <alignment wrapText="1"/>
    </xf>
    <xf numFmtId="3" fontId="0" fillId="7" borderId="6" xfId="0" applyNumberFormat="1" applyFill="1" applyBorder="1" applyAlignment="1">
      <alignment horizontal="right" vertical="top" wrapText="1"/>
    </xf>
    <xf numFmtId="3" fontId="16" fillId="12" borderId="9" xfId="0" applyNumberFormat="1" applyFont="1" applyFill="1" applyBorder="1" applyAlignment="1">
      <alignment vertical="top" wrapText="1"/>
    </xf>
    <xf numFmtId="3" fontId="16" fillId="12" borderId="4" xfId="0" applyNumberFormat="1" applyFont="1" applyFill="1" applyBorder="1" applyAlignment="1">
      <alignment vertical="top" wrapText="1"/>
    </xf>
    <xf numFmtId="3" fontId="16" fillId="10" borderId="3" xfId="0" applyNumberFormat="1" applyFont="1" applyFill="1" applyBorder="1" applyAlignment="1">
      <alignment vertical="top" wrapText="1"/>
    </xf>
    <xf numFmtId="3" fontId="16" fillId="10" borderId="9" xfId="0" applyNumberFormat="1" applyFont="1" applyFill="1" applyBorder="1" applyAlignment="1">
      <alignment vertical="top" wrapText="1"/>
    </xf>
    <xf numFmtId="3" fontId="16" fillId="10" borderId="4" xfId="0" applyNumberFormat="1" applyFont="1" applyFill="1" applyBorder="1" applyAlignment="1">
      <alignment vertical="top" wrapText="1"/>
    </xf>
    <xf numFmtId="3" fontId="16" fillId="25" borderId="3" xfId="0" applyNumberFormat="1" applyFont="1" applyFill="1" applyBorder="1" applyAlignment="1">
      <alignment vertical="top" wrapText="1"/>
    </xf>
    <xf numFmtId="3" fontId="16" fillId="25" borderId="9" xfId="0" applyNumberFormat="1" applyFont="1" applyFill="1" applyBorder="1" applyAlignment="1">
      <alignment vertical="top" wrapText="1"/>
    </xf>
    <xf numFmtId="1" fontId="16" fillId="0" borderId="0" xfId="0" applyNumberFormat="1" applyFont="1" applyFill="1" applyBorder="1" applyAlignment="1">
      <alignment vertical="top" wrapText="1"/>
    </xf>
    <xf numFmtId="1" fontId="0" fillId="0" borderId="0" xfId="0" applyNumberFormat="1" applyFill="1" applyBorder="1"/>
    <xf numFmtId="0" fontId="42" fillId="5" borderId="24" xfId="6" applyFont="1" applyFill="1" applyBorder="1" applyAlignment="1">
      <alignment vertical="center" wrapText="1"/>
    </xf>
    <xf numFmtId="0" fontId="31" fillId="2" borderId="23" xfId="6" applyFont="1" applyFill="1" applyBorder="1" applyAlignment="1">
      <alignment vertical="center" wrapText="1"/>
    </xf>
    <xf numFmtId="0" fontId="41" fillId="2" borderId="25" xfId="6" applyFont="1" applyFill="1" applyBorder="1" applyAlignment="1">
      <alignment horizontal="left" vertical="center"/>
    </xf>
    <xf numFmtId="0" fontId="43" fillId="21" borderId="23" xfId="6" applyFont="1" applyFill="1" applyBorder="1" applyAlignment="1">
      <alignment horizontal="right" vertical="center"/>
    </xf>
    <xf numFmtId="168" fontId="43" fillId="21" borderId="25" xfId="6" applyNumberFormat="1" applyFont="1" applyFill="1" applyBorder="1" applyAlignment="1">
      <alignment horizontal="right" vertical="center"/>
    </xf>
    <xf numFmtId="168" fontId="43" fillId="21" borderId="23" xfId="6" applyNumberFormat="1" applyFont="1" applyFill="1" applyBorder="1" applyAlignment="1">
      <alignment horizontal="right" vertical="center"/>
    </xf>
    <xf numFmtId="1" fontId="16" fillId="7" borderId="6" xfId="0" applyNumberFormat="1" applyFont="1" applyFill="1" applyBorder="1" applyAlignment="1">
      <alignment horizontal="right" vertical="top" wrapText="1"/>
    </xf>
    <xf numFmtId="0" fontId="12" fillId="0" borderId="0" xfId="0" applyFont="1" applyFill="1" applyBorder="1" applyAlignment="1">
      <alignment horizontal="center" vertical="center"/>
    </xf>
    <xf numFmtId="0" fontId="0" fillId="0" borderId="0" xfId="0" applyBorder="1" applyAlignment="1">
      <alignment horizontal="center" wrapText="1"/>
    </xf>
    <xf numFmtId="0" fontId="12" fillId="17" borderId="1" xfId="0" applyFont="1" applyFill="1" applyBorder="1" applyAlignment="1">
      <alignment horizontal="center" vertical="center"/>
    </xf>
    <xf numFmtId="0" fontId="16" fillId="0" borderId="0"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12" fillId="5" borderId="9" xfId="0" applyFont="1" applyFill="1" applyBorder="1" applyAlignment="1"/>
    <xf numFmtId="0" fontId="12" fillId="5" borderId="4" xfId="0" applyFont="1" applyFill="1" applyBorder="1" applyAlignment="1"/>
    <xf numFmtId="0" fontId="16" fillId="0" borderId="0" xfId="0" applyFont="1" applyBorder="1" applyAlignment="1">
      <alignment horizontal="center" wrapText="1"/>
    </xf>
    <xf numFmtId="0" fontId="23" fillId="14" borderId="3" xfId="0" applyFont="1" applyFill="1" applyBorder="1" applyAlignment="1">
      <alignment vertical="center"/>
    </xf>
    <xf numFmtId="0" fontId="31" fillId="5" borderId="23" xfId="6" applyFont="1" applyFill="1" applyBorder="1" applyAlignment="1">
      <alignment horizontal="center" vertical="center"/>
    </xf>
    <xf numFmtId="0" fontId="42" fillId="5" borderId="25" xfId="6" applyFont="1" applyFill="1" applyBorder="1" applyAlignment="1">
      <alignment vertical="center" wrapText="1"/>
    </xf>
    <xf numFmtId="0" fontId="42" fillId="5" borderId="25" xfId="6" applyFont="1" applyFill="1" applyBorder="1" applyAlignment="1">
      <alignment horizontal="left" vertical="center" wrapText="1"/>
    </xf>
    <xf numFmtId="0" fontId="42" fillId="5" borderId="48" xfId="6" applyFont="1" applyFill="1" applyBorder="1" applyAlignment="1">
      <alignment horizontal="left" vertical="center" wrapText="1"/>
    </xf>
    <xf numFmtId="168" fontId="42" fillId="5" borderId="23" xfId="7" applyNumberFormat="1" applyFont="1" applyFill="1" applyBorder="1" applyAlignment="1">
      <alignment horizontal="left" vertical="center" wrapText="1"/>
    </xf>
    <xf numFmtId="169" fontId="42" fillId="5" borderId="23" xfId="7" applyNumberFormat="1" applyFont="1" applyFill="1" applyBorder="1" applyAlignment="1">
      <alignment horizontal="left" vertical="center" wrapText="1"/>
    </xf>
    <xf numFmtId="169" fontId="42" fillId="5" borderId="24" xfId="7" applyNumberFormat="1" applyFont="1" applyFill="1" applyBorder="1" applyAlignment="1">
      <alignment horizontal="left" vertical="center" wrapText="1"/>
    </xf>
    <xf numFmtId="0" fontId="30" fillId="20" borderId="24" xfId="6" applyFont="1" applyFill="1" applyBorder="1" applyAlignment="1">
      <alignment horizontal="left" vertical="center"/>
    </xf>
    <xf numFmtId="0" fontId="30" fillId="2" borderId="28" xfId="6" applyFont="1" applyFill="1" applyBorder="1" applyAlignment="1">
      <alignment horizontal="left" vertical="center" wrapText="1"/>
    </xf>
    <xf numFmtId="0" fontId="30" fillId="2" borderId="23" xfId="6" applyFont="1" applyFill="1" applyBorder="1" applyAlignment="1">
      <alignment vertical="center" wrapText="1"/>
    </xf>
    <xf numFmtId="165" fontId="16" fillId="2" borderId="23" xfId="7" applyFont="1" applyFill="1" applyBorder="1" applyAlignment="1">
      <alignment vertical="center" wrapText="1"/>
    </xf>
    <xf numFmtId="170" fontId="30" fillId="2" borderId="23" xfId="6" applyNumberFormat="1" applyFont="1" applyFill="1" applyBorder="1" applyAlignment="1">
      <alignment horizontal="center" vertical="center" wrapText="1"/>
    </xf>
    <xf numFmtId="0" fontId="30" fillId="2" borderId="29" xfId="6" applyFont="1" applyFill="1" applyBorder="1" applyAlignment="1">
      <alignment horizontal="left" vertical="center" wrapText="1"/>
    </xf>
    <xf numFmtId="0" fontId="30" fillId="2" borderId="27" xfId="6" applyFont="1" applyFill="1" applyBorder="1" applyAlignment="1">
      <alignment horizontal="left" vertical="center" wrapText="1"/>
    </xf>
    <xf numFmtId="0" fontId="30" fillId="2" borderId="27" xfId="6" applyFont="1" applyFill="1" applyBorder="1" applyAlignment="1">
      <alignment horizontal="center" vertical="center"/>
    </xf>
    <xf numFmtId="0" fontId="41" fillId="2" borderId="24" xfId="6" applyFont="1" applyFill="1" applyBorder="1" applyAlignment="1">
      <alignment horizontal="left" vertical="center" wrapText="1"/>
    </xf>
    <xf numFmtId="0" fontId="41" fillId="2" borderId="25" xfId="6" applyFont="1" applyFill="1" applyBorder="1" applyAlignment="1">
      <alignment horizontal="left" vertical="center" wrapText="1"/>
    </xf>
    <xf numFmtId="0" fontId="42" fillId="2" borderId="25" xfId="6" applyFont="1" applyFill="1" applyBorder="1" applyAlignment="1">
      <alignment vertical="center" wrapText="1"/>
    </xf>
    <xf numFmtId="165" fontId="42" fillId="2" borderId="23" xfId="7" applyFont="1" applyFill="1" applyBorder="1" applyAlignment="1">
      <alignment vertical="center" wrapText="1"/>
    </xf>
    <xf numFmtId="1" fontId="42" fillId="2" borderId="23" xfId="6" applyNumberFormat="1" applyFont="1" applyFill="1" applyBorder="1" applyAlignment="1">
      <alignment horizontal="center" vertical="center" wrapText="1"/>
    </xf>
    <xf numFmtId="1" fontId="42" fillId="2" borderId="26" xfId="6" applyNumberFormat="1" applyFont="1" applyFill="1" applyBorder="1" applyAlignment="1">
      <alignment horizontal="center" vertical="center" wrapText="1"/>
    </xf>
    <xf numFmtId="165" fontId="42" fillId="2" borderId="26" xfId="7" applyFont="1" applyFill="1" applyBorder="1" applyAlignment="1">
      <alignment vertical="center" wrapText="1"/>
    </xf>
    <xf numFmtId="0" fontId="42" fillId="2" borderId="25" xfId="6" applyFont="1" applyFill="1" applyBorder="1" applyAlignment="1">
      <alignment wrapText="1"/>
    </xf>
    <xf numFmtId="171" fontId="16" fillId="2" borderId="23" xfId="7" applyNumberFormat="1" applyFont="1" applyFill="1" applyBorder="1" applyAlignment="1">
      <alignment vertical="center" wrapText="1"/>
    </xf>
    <xf numFmtId="165" fontId="16" fillId="2" borderId="23" xfId="7" applyFont="1" applyFill="1" applyBorder="1" applyAlignment="1">
      <alignment horizontal="right" vertical="center"/>
    </xf>
    <xf numFmtId="0" fontId="42" fillId="2" borderId="23" xfId="6" applyFont="1" applyFill="1" applyBorder="1" applyAlignment="1">
      <alignment horizontal="center" vertical="center"/>
    </xf>
    <xf numFmtId="165" fontId="5" fillId="2" borderId="23" xfId="7" applyFont="1" applyFill="1" applyBorder="1" applyAlignment="1">
      <alignment horizontal="right" vertical="center"/>
    </xf>
    <xf numFmtId="0" fontId="42" fillId="2" borderId="23" xfId="6" applyFont="1" applyFill="1" applyBorder="1" applyAlignment="1">
      <alignment horizontal="left" vertical="center" wrapText="1"/>
    </xf>
    <xf numFmtId="0" fontId="41" fillId="2" borderId="23" xfId="6" applyFont="1" applyFill="1" applyBorder="1" applyAlignment="1">
      <alignment vertical="center" wrapText="1"/>
    </xf>
    <xf numFmtId="39" fontId="16" fillId="2" borderId="23" xfId="7" applyNumberFormat="1" applyFont="1" applyFill="1" applyBorder="1" applyAlignment="1">
      <alignment horizontal="left" vertical="center" wrapText="1"/>
    </xf>
    <xf numFmtId="0" fontId="31" fillId="7" borderId="23" xfId="6" applyFont="1" applyFill="1" applyBorder="1" applyAlignment="1">
      <alignment horizontal="center" vertical="center"/>
    </xf>
    <xf numFmtId="0" fontId="42" fillId="7" borderId="24" xfId="6" applyFont="1" applyFill="1" applyBorder="1" applyAlignment="1">
      <alignment vertical="center" wrapText="1"/>
    </xf>
    <xf numFmtId="0" fontId="42" fillId="7" borderId="25" xfId="6" applyFont="1" applyFill="1" applyBorder="1" applyAlignment="1">
      <alignment vertical="center" wrapText="1"/>
    </xf>
    <xf numFmtId="0" fontId="41" fillId="7" borderId="23" xfId="6" applyFont="1" applyFill="1" applyBorder="1" applyAlignment="1">
      <alignment horizontal="right" vertical="center" wrapText="1"/>
    </xf>
    <xf numFmtId="165" fontId="41" fillId="7" borderId="23" xfId="7" applyFont="1" applyFill="1" applyBorder="1" applyAlignment="1">
      <alignment horizontal="left" vertical="center" wrapText="1"/>
    </xf>
    <xf numFmtId="1" fontId="41" fillId="7" borderId="23" xfId="7" applyNumberFormat="1" applyFont="1" applyFill="1" applyBorder="1" applyAlignment="1">
      <alignment horizontal="center" vertical="center" wrapText="1"/>
    </xf>
    <xf numFmtId="2" fontId="41" fillId="7" borderId="23" xfId="7" applyNumberFormat="1" applyFont="1" applyFill="1" applyBorder="1" applyAlignment="1">
      <alignment horizontal="center" vertical="center" wrapText="1"/>
    </xf>
    <xf numFmtId="1" fontId="30" fillId="7" borderId="23" xfId="6" applyNumberFormat="1" applyFont="1" applyFill="1" applyBorder="1" applyAlignment="1">
      <alignment horizontal="center" vertical="center" wrapText="1"/>
    </xf>
    <xf numFmtId="165" fontId="16" fillId="7" borderId="23" xfId="7" applyFont="1" applyFill="1" applyBorder="1" applyAlignment="1">
      <alignment horizontal="right" vertical="center"/>
    </xf>
    <xf numFmtId="165" fontId="5" fillId="7" borderId="23" xfId="7" applyFont="1" applyFill="1" applyBorder="1" applyAlignment="1">
      <alignment horizontal="right" vertical="center"/>
    </xf>
    <xf numFmtId="0" fontId="31" fillId="2" borderId="24" xfId="6" applyFont="1" applyFill="1" applyBorder="1" applyAlignment="1">
      <alignment horizontal="left" vertical="center"/>
    </xf>
    <xf numFmtId="0" fontId="42" fillId="2" borderId="23" xfId="6" applyFont="1" applyFill="1" applyBorder="1" applyAlignment="1">
      <alignment vertical="center" wrapText="1"/>
    </xf>
    <xf numFmtId="169" fontId="41" fillId="2" borderId="23" xfId="6" applyNumberFormat="1" applyFont="1" applyFill="1" applyBorder="1" applyAlignment="1">
      <alignment horizontal="right" vertical="center" wrapText="1"/>
    </xf>
    <xf numFmtId="166" fontId="41" fillId="2" borderId="23" xfId="7" applyNumberFormat="1" applyFont="1" applyFill="1" applyBorder="1" applyAlignment="1">
      <alignment horizontal="left" vertical="center" wrapText="1"/>
    </xf>
    <xf numFmtId="1" fontId="41" fillId="2" borderId="23" xfId="7" applyNumberFormat="1" applyFont="1" applyFill="1" applyBorder="1" applyAlignment="1">
      <alignment horizontal="center" vertical="center" wrapText="1"/>
    </xf>
    <xf numFmtId="2" fontId="41" fillId="2" borderId="23" xfId="7" applyNumberFormat="1" applyFont="1" applyFill="1" applyBorder="1" applyAlignment="1">
      <alignment horizontal="center" vertical="center" wrapText="1"/>
    </xf>
    <xf numFmtId="165" fontId="16" fillId="2" borderId="24" xfId="7" applyFont="1" applyFill="1" applyBorder="1" applyAlignment="1">
      <alignment horizontal="right" vertical="center"/>
    </xf>
    <xf numFmtId="0" fontId="30" fillId="2" borderId="24" xfId="6" applyFont="1" applyFill="1" applyBorder="1" applyAlignment="1">
      <alignment horizontal="left" vertical="center"/>
    </xf>
    <xf numFmtId="0" fontId="42" fillId="5" borderId="23" xfId="6" applyFont="1" applyFill="1" applyBorder="1" applyAlignment="1">
      <alignment horizontal="center" vertical="center"/>
    </xf>
    <xf numFmtId="0" fontId="42" fillId="5" borderId="23" xfId="6" applyFont="1" applyFill="1" applyBorder="1" applyAlignment="1">
      <alignment vertical="center" wrapText="1"/>
    </xf>
    <xf numFmtId="0" fontId="42" fillId="5" borderId="25" xfId="6" applyFont="1" applyFill="1" applyBorder="1" applyAlignment="1">
      <alignment wrapText="1"/>
    </xf>
    <xf numFmtId="0" fontId="42" fillId="5" borderId="23" xfId="6" applyFont="1" applyFill="1" applyBorder="1" applyAlignment="1">
      <alignment horizontal="left" vertical="center" wrapText="1"/>
    </xf>
    <xf numFmtId="0" fontId="30" fillId="5" borderId="28" xfId="6" applyFont="1" applyFill="1" applyBorder="1" applyAlignment="1">
      <alignment vertical="center"/>
    </xf>
    <xf numFmtId="165" fontId="16" fillId="5" borderId="28" xfId="7" applyFont="1" applyFill="1" applyBorder="1" applyAlignment="1">
      <alignment vertical="center"/>
    </xf>
    <xf numFmtId="1" fontId="30" fillId="5" borderId="28" xfId="6" applyNumberFormat="1" applyFont="1" applyFill="1" applyBorder="1" applyAlignment="1">
      <alignment horizontal="center" vertical="center"/>
    </xf>
    <xf numFmtId="1" fontId="30" fillId="5" borderId="23" xfId="6" applyNumberFormat="1" applyFont="1" applyFill="1" applyBorder="1" applyAlignment="1">
      <alignment horizontal="center" vertical="center"/>
    </xf>
    <xf numFmtId="165" fontId="16" fillId="5" borderId="23" xfId="7" applyFont="1" applyFill="1" applyBorder="1" applyAlignment="1">
      <alignment horizontal="right" vertical="center"/>
    </xf>
    <xf numFmtId="165" fontId="5" fillId="5" borderId="23" xfId="7" applyFont="1" applyFill="1" applyBorder="1" applyAlignment="1">
      <alignment horizontal="right" vertical="center"/>
    </xf>
    <xf numFmtId="0" fontId="31" fillId="2" borderId="24" xfId="6" applyFont="1" applyFill="1" applyBorder="1" applyAlignment="1">
      <alignment horizontal="left" vertical="center" wrapText="1"/>
    </xf>
    <xf numFmtId="0" fontId="41" fillId="2" borderId="22" xfId="6" applyFont="1" applyFill="1" applyBorder="1" applyAlignment="1">
      <alignment horizontal="left" vertical="center" wrapText="1"/>
    </xf>
    <xf numFmtId="0" fontId="41" fillId="2" borderId="19" xfId="6" applyFont="1" applyFill="1" applyBorder="1" applyAlignment="1">
      <alignment horizontal="left" vertical="center" wrapText="1"/>
    </xf>
    <xf numFmtId="0" fontId="41" fillId="2" borderId="39" xfId="6" applyFont="1" applyFill="1" applyBorder="1" applyAlignment="1">
      <alignment horizontal="left" vertical="center" wrapText="1"/>
    </xf>
    <xf numFmtId="165" fontId="16" fillId="2" borderId="41" xfId="7" applyFont="1" applyFill="1" applyBorder="1" applyAlignment="1">
      <alignment vertical="center"/>
    </xf>
    <xf numFmtId="1" fontId="30" fillId="2" borderId="42" xfId="6" applyNumberFormat="1" applyFont="1" applyFill="1" applyBorder="1" applyAlignment="1">
      <alignment horizontal="center" vertical="center"/>
    </xf>
    <xf numFmtId="1" fontId="30" fillId="2" borderId="26" xfId="6" applyNumberFormat="1" applyFont="1" applyFill="1" applyBorder="1" applyAlignment="1">
      <alignment horizontal="center" vertical="center"/>
    </xf>
    <xf numFmtId="0" fontId="30" fillId="2" borderId="27" xfId="6" applyFont="1" applyFill="1" applyBorder="1" applyAlignment="1">
      <alignment vertical="center"/>
    </xf>
    <xf numFmtId="165" fontId="16" fillId="2" borderId="27" xfId="7" applyFont="1" applyFill="1" applyBorder="1" applyAlignment="1">
      <alignment vertical="center"/>
    </xf>
    <xf numFmtId="1" fontId="30" fillId="2" borderId="27" xfId="6" applyNumberFormat="1" applyFont="1" applyFill="1" applyBorder="1" applyAlignment="1">
      <alignment horizontal="center" vertical="center"/>
    </xf>
    <xf numFmtId="1" fontId="30" fillId="2" borderId="23" xfId="6" applyNumberFormat="1" applyFont="1" applyFill="1" applyBorder="1" applyAlignment="1">
      <alignment horizontal="center" vertical="center"/>
    </xf>
    <xf numFmtId="169" fontId="16" fillId="2" borderId="23" xfId="7" applyNumberFormat="1" applyFont="1" applyFill="1" applyBorder="1" applyAlignment="1">
      <alignment horizontal="right" vertical="center"/>
    </xf>
    <xf numFmtId="0" fontId="41" fillId="2" borderId="26" xfId="6" applyFont="1" applyFill="1" applyBorder="1" applyAlignment="1">
      <alignment horizontal="left" vertical="center" wrapText="1"/>
    </xf>
    <xf numFmtId="0" fontId="11" fillId="5" borderId="31" xfId="0" applyFont="1" applyFill="1" applyBorder="1" applyAlignment="1">
      <alignment horizontal="left" vertical="center" wrapText="1"/>
    </xf>
    <xf numFmtId="0" fontId="8" fillId="5" borderId="31" xfId="0" applyFont="1" applyFill="1" applyBorder="1" applyAlignment="1">
      <alignment vertical="center" wrapText="1"/>
    </xf>
    <xf numFmtId="0" fontId="0" fillId="0" borderId="52" xfId="0" applyBorder="1"/>
    <xf numFmtId="0" fontId="0" fillId="0" borderId="53" xfId="0" applyBorder="1"/>
    <xf numFmtId="0" fontId="5" fillId="4" borderId="37" xfId="0" applyFont="1" applyFill="1" applyBorder="1" applyAlignment="1">
      <alignment horizontal="left" vertical="center"/>
    </xf>
    <xf numFmtId="0" fontId="16" fillId="0" borderId="55" xfId="0" applyFont="1" applyFill="1" applyBorder="1" applyAlignment="1">
      <alignment vertical="top" wrapText="1"/>
    </xf>
    <xf numFmtId="0" fontId="0" fillId="0" borderId="53" xfId="0" applyBorder="1" applyAlignment="1">
      <alignment wrapText="1"/>
    </xf>
    <xf numFmtId="0" fontId="16" fillId="2" borderId="54" xfId="0" applyFont="1" applyFill="1" applyBorder="1" applyAlignment="1">
      <alignment vertical="top" wrapText="1"/>
    </xf>
    <xf numFmtId="0" fontId="16" fillId="0" borderId="52" xfId="0" applyFont="1" applyFill="1" applyBorder="1" applyAlignment="1">
      <alignment vertical="top" wrapText="1"/>
    </xf>
    <xf numFmtId="0" fontId="0" fillId="0" borderId="53" xfId="0" applyFill="1" applyBorder="1" applyAlignment="1">
      <alignment wrapText="1"/>
    </xf>
    <xf numFmtId="0" fontId="0" fillId="0" borderId="52" xfId="0" applyBorder="1" applyAlignment="1">
      <alignment wrapText="1"/>
    </xf>
    <xf numFmtId="0" fontId="8" fillId="0" borderId="52" xfId="0" applyFont="1" applyFill="1" applyBorder="1" applyAlignment="1">
      <alignment horizontal="left" wrapText="1"/>
    </xf>
    <xf numFmtId="0" fontId="16" fillId="0" borderId="54" xfId="0" applyFont="1" applyFill="1" applyBorder="1" applyAlignment="1">
      <alignment vertical="top" wrapText="1"/>
    </xf>
    <xf numFmtId="0" fontId="12" fillId="5" borderId="56" xfId="0" applyFont="1" applyFill="1" applyBorder="1" applyAlignment="1"/>
    <xf numFmtId="0" fontId="0" fillId="0" borderId="53" xfId="0" applyFill="1" applyBorder="1"/>
    <xf numFmtId="0" fontId="1" fillId="7" borderId="10" xfId="0" applyFont="1" applyFill="1" applyBorder="1" applyAlignment="1">
      <alignment vertical="top"/>
    </xf>
    <xf numFmtId="0" fontId="12" fillId="0" borderId="53" xfId="0" applyFont="1" applyFill="1" applyBorder="1" applyAlignment="1">
      <alignment horizontal="center" vertical="center"/>
    </xf>
    <xf numFmtId="0" fontId="0" fillId="0" borderId="53" xfId="0" applyFont="1" applyFill="1" applyBorder="1" applyAlignment="1">
      <alignment vertical="center" wrapText="1"/>
    </xf>
    <xf numFmtId="3" fontId="0" fillId="0" borderId="53" xfId="0" applyNumberFormat="1" applyFont="1" applyFill="1" applyBorder="1" applyAlignment="1">
      <alignment vertical="center" wrapText="1"/>
    </xf>
    <xf numFmtId="0" fontId="0" fillId="0" borderId="32" xfId="0" applyBorder="1"/>
    <xf numFmtId="0" fontId="0" fillId="0" borderId="33" xfId="0" applyBorder="1"/>
    <xf numFmtId="0" fontId="0" fillId="0" borderId="51" xfId="0" applyBorder="1"/>
    <xf numFmtId="0" fontId="8" fillId="5" borderId="50" xfId="0" applyFont="1" applyFill="1" applyBorder="1" applyAlignment="1">
      <alignment vertical="center" wrapText="1"/>
    </xf>
    <xf numFmtId="0" fontId="5" fillId="23" borderId="38" xfId="0" applyFont="1" applyFill="1" applyBorder="1" applyAlignment="1">
      <alignment horizontal="center" vertical="top"/>
    </xf>
    <xf numFmtId="0" fontId="16" fillId="19" borderId="58" xfId="0" applyFont="1" applyFill="1" applyBorder="1" applyAlignment="1">
      <alignment vertical="top" wrapText="1"/>
    </xf>
    <xf numFmtId="1" fontId="16" fillId="19" borderId="58" xfId="0" applyNumberFormat="1" applyFont="1" applyFill="1" applyBorder="1" applyAlignment="1">
      <alignment vertical="top" wrapText="1"/>
    </xf>
    <xf numFmtId="3" fontId="16" fillId="25" borderId="59" xfId="0" applyNumberFormat="1" applyFont="1" applyFill="1" applyBorder="1" applyAlignment="1">
      <alignment vertical="top" wrapText="1"/>
    </xf>
    <xf numFmtId="3" fontId="0" fillId="18" borderId="53" xfId="0" applyNumberFormat="1" applyFont="1" applyFill="1" applyBorder="1" applyAlignment="1">
      <alignment vertical="center" wrapText="1"/>
    </xf>
    <xf numFmtId="0" fontId="5" fillId="14" borderId="0" xfId="0" applyFont="1" applyFill="1" applyBorder="1" applyAlignment="1">
      <alignment horizontal="center" vertical="center"/>
    </xf>
    <xf numFmtId="0" fontId="5" fillId="6" borderId="0" xfId="0" applyFont="1" applyFill="1" applyBorder="1" applyAlignment="1">
      <alignment horizontal="center" vertical="center"/>
    </xf>
    <xf numFmtId="1" fontId="0" fillId="22" borderId="0" xfId="0" applyNumberFormat="1" applyFont="1" applyFill="1" applyBorder="1" applyAlignment="1">
      <alignment vertical="center" wrapText="1"/>
    </xf>
    <xf numFmtId="3" fontId="0" fillId="7" borderId="0" xfId="0" applyNumberFormat="1" applyFont="1" applyFill="1" applyBorder="1" applyAlignment="1">
      <alignment vertical="center" wrapText="1"/>
    </xf>
    <xf numFmtId="3" fontId="0" fillId="22" borderId="0" xfId="0" applyNumberFormat="1" applyFont="1" applyFill="1" applyBorder="1" applyAlignment="1">
      <alignment vertical="center" wrapText="1"/>
    </xf>
    <xf numFmtId="0" fontId="1" fillId="22" borderId="0" xfId="0" applyFont="1" applyFill="1" applyBorder="1" applyAlignment="1">
      <alignment horizontal="center"/>
    </xf>
    <xf numFmtId="0" fontId="1" fillId="10" borderId="0" xfId="0" applyFont="1" applyFill="1" applyBorder="1" applyAlignment="1">
      <alignment horizontal="center"/>
    </xf>
    <xf numFmtId="0" fontId="1" fillId="25" borderId="0" xfId="0" applyFont="1" applyFill="1" applyBorder="1" applyAlignment="1">
      <alignment horizontal="center"/>
    </xf>
    <xf numFmtId="1" fontId="0" fillId="0" borderId="0" xfId="0" applyNumberFormat="1" applyBorder="1"/>
    <xf numFmtId="0" fontId="12" fillId="17" borderId="0" xfId="0" applyFont="1" applyFill="1" applyBorder="1" applyAlignment="1">
      <alignment horizontal="center" vertical="center"/>
    </xf>
    <xf numFmtId="0" fontId="0" fillId="11" borderId="0" xfId="0" applyFont="1" applyFill="1" applyBorder="1" applyAlignment="1">
      <alignment vertical="center" wrapText="1"/>
    </xf>
    <xf numFmtId="0" fontId="7" fillId="2" borderId="0" xfId="0" applyFont="1" applyFill="1" applyBorder="1" applyAlignment="1">
      <alignment vertical="top" wrapText="1"/>
    </xf>
    <xf numFmtId="3" fontId="0" fillId="12" borderId="0" xfId="0" applyNumberFormat="1" applyFont="1" applyFill="1" applyBorder="1" applyAlignment="1">
      <alignment vertical="center" wrapText="1"/>
    </xf>
    <xf numFmtId="165" fontId="7" fillId="0" borderId="0" xfId="9" applyFont="1" applyFill="1" applyBorder="1" applyAlignment="1">
      <alignment vertical="top" wrapText="1"/>
    </xf>
    <xf numFmtId="165" fontId="0" fillId="11" borderId="0" xfId="9" applyFont="1" applyFill="1" applyBorder="1" applyAlignment="1">
      <alignment vertical="center" wrapText="1"/>
    </xf>
    <xf numFmtId="0" fontId="16" fillId="12" borderId="9" xfId="0" applyFont="1" applyFill="1" applyBorder="1" applyAlignment="1">
      <alignment vertical="top" wrapText="1"/>
    </xf>
    <xf numFmtId="0" fontId="16" fillId="12" borderId="4" xfId="0" applyFont="1" applyFill="1" applyBorder="1" applyAlignment="1">
      <alignment vertical="top" wrapText="1"/>
    </xf>
    <xf numFmtId="0" fontId="0" fillId="7" borderId="31" xfId="0" applyFill="1" applyBorder="1"/>
    <xf numFmtId="0" fontId="0" fillId="7" borderId="50" xfId="0" applyFill="1" applyBorder="1"/>
    <xf numFmtId="0" fontId="11" fillId="7" borderId="53" xfId="0" applyFont="1" applyFill="1" applyBorder="1" applyAlignment="1">
      <alignment vertical="center" wrapText="1"/>
    </xf>
    <xf numFmtId="0" fontId="16" fillId="18" borderId="55" xfId="0" applyFont="1" applyFill="1" applyBorder="1" applyAlignment="1">
      <alignment vertical="top" wrapText="1"/>
    </xf>
    <xf numFmtId="0" fontId="16" fillId="0" borderId="53" xfId="0" applyFont="1" applyFill="1" applyBorder="1" applyAlignment="1">
      <alignment vertical="top" wrapText="1"/>
    </xf>
    <xf numFmtId="0" fontId="16" fillId="8" borderId="53" xfId="0" applyFont="1" applyFill="1" applyBorder="1"/>
    <xf numFmtId="0" fontId="11" fillId="0" borderId="52" xfId="0" applyFont="1" applyFill="1" applyBorder="1" applyAlignment="1">
      <alignment horizontal="left" wrapText="1"/>
    </xf>
    <xf numFmtId="0" fontId="16" fillId="0" borderId="53" xfId="0" applyFont="1" applyFill="1" applyBorder="1" applyAlignment="1">
      <alignment wrapText="1"/>
    </xf>
    <xf numFmtId="0" fontId="16" fillId="0" borderId="52" xfId="0" applyFont="1" applyBorder="1"/>
    <xf numFmtId="0" fontId="16" fillId="0" borderId="52" xfId="0" applyFont="1" applyBorder="1" applyAlignment="1">
      <alignment wrapText="1"/>
    </xf>
    <xf numFmtId="0" fontId="16" fillId="0" borderId="53" xfId="0" applyFont="1" applyBorder="1" applyAlignment="1">
      <alignment wrapText="1"/>
    </xf>
    <xf numFmtId="0" fontId="16" fillId="0" borderId="53" xfId="0" applyFont="1" applyBorder="1" applyAlignment="1">
      <alignment horizontal="center" wrapText="1"/>
    </xf>
    <xf numFmtId="0" fontId="16" fillId="0" borderId="53" xfId="0" applyFont="1" applyBorder="1"/>
    <xf numFmtId="0" fontId="12" fillId="5" borderId="61" xfId="0" applyFont="1" applyFill="1" applyBorder="1" applyAlignment="1"/>
    <xf numFmtId="0" fontId="23" fillId="0" borderId="53" xfId="0" applyFont="1" applyFill="1" applyBorder="1" applyAlignment="1">
      <alignment vertical="center"/>
    </xf>
    <xf numFmtId="0" fontId="12" fillId="0" borderId="52" xfId="0" applyFont="1" applyFill="1" applyBorder="1" applyAlignment="1"/>
    <xf numFmtId="0" fontId="16" fillId="8" borderId="53" xfId="0" applyFont="1" applyFill="1" applyBorder="1" applyAlignment="1">
      <alignment wrapText="1"/>
    </xf>
    <xf numFmtId="0" fontId="16" fillId="18" borderId="54" xfId="0" applyFont="1" applyFill="1" applyBorder="1" applyAlignment="1">
      <alignment vertical="top" wrapText="1"/>
    </xf>
    <xf numFmtId="0" fontId="16" fillId="18" borderId="52" xfId="0" applyFont="1" applyFill="1" applyBorder="1"/>
    <xf numFmtId="0" fontId="16" fillId="2" borderId="57" xfId="0" applyFont="1" applyFill="1" applyBorder="1"/>
    <xf numFmtId="0" fontId="4" fillId="0" borderId="33" xfId="0" applyFont="1" applyFill="1" applyBorder="1" applyAlignment="1">
      <alignment horizontal="left" wrapText="1"/>
    </xf>
    <xf numFmtId="0" fontId="16" fillId="2" borderId="55" xfId="0" applyFont="1" applyFill="1" applyBorder="1" applyAlignment="1">
      <alignment vertical="top" wrapText="1"/>
    </xf>
    <xf numFmtId="0" fontId="34" fillId="0" borderId="52" xfId="0" applyFont="1" applyFill="1" applyBorder="1" applyAlignment="1">
      <alignment horizontal="left" vertical="center" wrapText="1"/>
    </xf>
    <xf numFmtId="0" fontId="0" fillId="0" borderId="53" xfId="0" applyBorder="1" applyAlignment="1">
      <alignment horizontal="center" wrapText="1"/>
    </xf>
    <xf numFmtId="0" fontId="22" fillId="0" borderId="53" xfId="0" applyFont="1" applyFill="1" applyBorder="1" applyAlignment="1"/>
    <xf numFmtId="0" fontId="6" fillId="0" borderId="33" xfId="0" applyFont="1" applyFill="1" applyBorder="1" applyAlignment="1">
      <alignment horizontal="left" wrapText="1"/>
    </xf>
    <xf numFmtId="0" fontId="0" fillId="8" borderId="53" xfId="0" applyFill="1" applyBorder="1" applyAlignment="1">
      <alignment wrapText="1"/>
    </xf>
    <xf numFmtId="0" fontId="31" fillId="0" borderId="30" xfId="6" applyFont="1" applyBorder="1" applyAlignment="1">
      <alignment horizontal="left" vertical="center"/>
    </xf>
    <xf numFmtId="0" fontId="30" fillId="0" borderId="31" xfId="6" applyFont="1" applyBorder="1"/>
    <xf numFmtId="0" fontId="41" fillId="0" borderId="31" xfId="6" applyFont="1" applyBorder="1" applyAlignment="1">
      <alignment vertical="center"/>
    </xf>
    <xf numFmtId="0" fontId="30" fillId="0" borderId="31" xfId="6" applyFont="1" applyBorder="1" applyAlignment="1">
      <alignment vertical="center"/>
    </xf>
    <xf numFmtId="0" fontId="30" fillId="0" borderId="31" xfId="6" applyFont="1" applyBorder="1" applyAlignment="1">
      <alignment horizontal="right" vertical="center"/>
    </xf>
    <xf numFmtId="0" fontId="37" fillId="0" borderId="31" xfId="6" applyFont="1" applyBorder="1"/>
    <xf numFmtId="1" fontId="37" fillId="0" borderId="31" xfId="6" applyNumberFormat="1" applyFont="1" applyBorder="1"/>
    <xf numFmtId="0" fontId="31" fillId="0" borderId="52" xfId="6" applyFont="1" applyBorder="1" applyAlignment="1">
      <alignment horizontal="left" vertical="center"/>
    </xf>
    <xf numFmtId="0" fontId="30" fillId="0" borderId="0" xfId="6" applyFont="1" applyBorder="1"/>
    <xf numFmtId="0" fontId="41" fillId="0" borderId="0" xfId="6" applyFont="1" applyBorder="1" applyAlignment="1">
      <alignment vertical="center"/>
    </xf>
    <xf numFmtId="0" fontId="30" fillId="0" borderId="0" xfId="6" applyFont="1" applyBorder="1" applyAlignment="1">
      <alignment vertical="center"/>
    </xf>
    <xf numFmtId="0" fontId="30" fillId="0" borderId="0" xfId="6" applyFont="1" applyBorder="1" applyAlignment="1">
      <alignment horizontal="right" vertical="center"/>
    </xf>
    <xf numFmtId="0" fontId="31" fillId="0" borderId="0" xfId="6" applyFont="1" applyBorder="1" applyAlignment="1">
      <alignment horizontal="right" vertical="center"/>
    </xf>
    <xf numFmtId="0" fontId="40" fillId="0" borderId="0" xfId="6" applyFont="1" applyBorder="1"/>
    <xf numFmtId="1" fontId="40" fillId="0" borderId="0" xfId="6" applyNumberFormat="1" applyFont="1" applyBorder="1"/>
    <xf numFmtId="0" fontId="30" fillId="0" borderId="52" xfId="6" applyFont="1" applyBorder="1" applyAlignment="1">
      <alignment horizontal="center" vertical="center"/>
    </xf>
    <xf numFmtId="1" fontId="28" fillId="7" borderId="58" xfId="6" applyNumberFormat="1" applyFont="1" applyFill="1" applyBorder="1"/>
    <xf numFmtId="1" fontId="27" fillId="7" borderId="0" xfId="6" applyNumberFormat="1" applyFill="1" applyBorder="1"/>
    <xf numFmtId="0" fontId="27" fillId="7" borderId="0" xfId="6" applyFill="1" applyBorder="1"/>
    <xf numFmtId="0" fontId="27" fillId="18" borderId="53" xfId="6" applyFill="1" applyBorder="1"/>
    <xf numFmtId="1" fontId="27" fillId="18" borderId="33" xfId="6" applyNumberFormat="1" applyFill="1" applyBorder="1"/>
    <xf numFmtId="0" fontId="27" fillId="18" borderId="51" xfId="6" applyFill="1" applyBorder="1"/>
    <xf numFmtId="1" fontId="30" fillId="5" borderId="19" xfId="6" applyNumberFormat="1" applyFont="1" applyFill="1" applyBorder="1"/>
    <xf numFmtId="1" fontId="30" fillId="5" borderId="12" xfId="6" applyNumberFormat="1" applyFont="1" applyFill="1" applyBorder="1"/>
    <xf numFmtId="0" fontId="28" fillId="20" borderId="58" xfId="6" applyFont="1" applyFill="1" applyBorder="1"/>
    <xf numFmtId="165" fontId="13" fillId="5" borderId="2" xfId="9" applyFont="1" applyFill="1" applyBorder="1" applyAlignment="1">
      <alignment vertical="center" wrapText="1"/>
    </xf>
    <xf numFmtId="165" fontId="5" fillId="5" borderId="9" xfId="9" applyFont="1" applyFill="1" applyBorder="1"/>
    <xf numFmtId="165" fontId="18" fillId="12" borderId="16" xfId="9" applyFont="1" applyFill="1" applyBorder="1" applyAlignment="1">
      <alignment vertical="center"/>
    </xf>
    <xf numFmtId="165" fontId="18" fillId="3" borderId="16" xfId="9" applyFont="1" applyFill="1" applyBorder="1" applyAlignment="1">
      <alignment vertical="center"/>
    </xf>
    <xf numFmtId="165" fontId="18" fillId="19" borderId="16" xfId="9" applyFont="1" applyFill="1" applyBorder="1" applyAlignment="1">
      <alignment vertical="center"/>
    </xf>
    <xf numFmtId="0" fontId="36" fillId="8" borderId="9" xfId="0" applyFont="1" applyFill="1" applyBorder="1" applyAlignment="1">
      <alignment horizontal="right" wrapText="1"/>
    </xf>
    <xf numFmtId="0" fontId="5" fillId="12" borderId="0" xfId="0" applyFont="1" applyFill="1" applyAlignment="1">
      <alignment horizontal="center"/>
    </xf>
    <xf numFmtId="0" fontId="13" fillId="5" borderId="9" xfId="2" applyFont="1" applyFill="1" applyBorder="1" applyAlignment="1">
      <alignment horizontal="left" vertical="center" wrapText="1"/>
    </xf>
    <xf numFmtId="0" fontId="1" fillId="25" borderId="0" xfId="0" applyFont="1" applyFill="1" applyAlignment="1">
      <alignment horizontal="center"/>
    </xf>
    <xf numFmtId="0" fontId="15" fillId="5" borderId="8" xfId="2" applyFont="1" applyFill="1" applyBorder="1" applyAlignment="1">
      <alignment vertical="center"/>
    </xf>
    <xf numFmtId="0" fontId="15" fillId="5" borderId="5" xfId="2" applyFont="1" applyFill="1" applyBorder="1" applyAlignment="1">
      <alignment vertical="center"/>
    </xf>
    <xf numFmtId="167" fontId="15" fillId="5" borderId="18" xfId="3" applyNumberFormat="1" applyFont="1" applyFill="1" applyBorder="1" applyAlignment="1">
      <alignment horizontal="left" vertical="center"/>
    </xf>
    <xf numFmtId="167" fontId="15" fillId="5" borderId="0" xfId="3" applyNumberFormat="1" applyFont="1" applyFill="1" applyBorder="1" applyAlignment="1">
      <alignment horizontal="left" vertical="center"/>
    </xf>
    <xf numFmtId="0" fontId="1" fillId="5" borderId="0" xfId="0" applyFont="1" applyFill="1" applyBorder="1" applyAlignment="1">
      <alignment horizontal="right" vertical="center"/>
    </xf>
    <xf numFmtId="0" fontId="1" fillId="5" borderId="5" xfId="0" applyFont="1" applyFill="1" applyBorder="1" applyAlignment="1">
      <alignment horizontal="right" vertical="center"/>
    </xf>
    <xf numFmtId="0" fontId="1" fillId="5" borderId="0" xfId="0" applyFont="1" applyFill="1" applyBorder="1" applyAlignment="1">
      <alignment horizontal="left" vertical="center"/>
    </xf>
    <xf numFmtId="0" fontId="1" fillId="5" borderId="5" xfId="0" applyFont="1" applyFill="1" applyBorder="1" applyAlignment="1">
      <alignment horizontal="left" vertical="center"/>
    </xf>
    <xf numFmtId="0" fontId="1" fillId="10" borderId="0" xfId="0" applyFont="1" applyFill="1" applyAlignment="1">
      <alignment horizontal="center"/>
    </xf>
    <xf numFmtId="0" fontId="35" fillId="5" borderId="30" xfId="0" applyFont="1" applyFill="1" applyBorder="1" applyAlignment="1">
      <alignment horizontal="left" vertical="center" wrapText="1"/>
    </xf>
    <xf numFmtId="0" fontId="11" fillId="5" borderId="31" xfId="0" applyFont="1" applyFill="1" applyBorder="1" applyAlignment="1">
      <alignment horizontal="left" vertical="center" wrapText="1"/>
    </xf>
    <xf numFmtId="0" fontId="23" fillId="4" borderId="1" xfId="0" applyFont="1" applyFill="1" applyBorder="1" applyAlignment="1">
      <alignment horizontal="center" vertical="center"/>
    </xf>
    <xf numFmtId="0" fontId="23" fillId="14" borderId="1" xfId="0" applyFont="1" applyFill="1" applyBorder="1" applyAlignment="1">
      <alignment horizontal="center" vertical="center"/>
    </xf>
    <xf numFmtId="0" fontId="16" fillId="12" borderId="1" xfId="0" applyFont="1" applyFill="1" applyBorder="1" applyAlignment="1">
      <alignment horizontal="center" vertical="top" wrapText="1"/>
    </xf>
    <xf numFmtId="0" fontId="23" fillId="16" borderId="1" xfId="0" applyFont="1" applyFill="1" applyBorder="1" applyAlignment="1">
      <alignment horizontal="center" vertical="center"/>
    </xf>
    <xf numFmtId="0" fontId="5" fillId="4" borderId="10" xfId="0" applyFont="1" applyFill="1" applyBorder="1" applyAlignment="1">
      <alignment horizontal="left" vertical="center" wrapText="1"/>
    </xf>
    <xf numFmtId="0" fontId="16" fillId="0" borderId="6" xfId="0" applyFont="1" applyFill="1" applyBorder="1" applyAlignment="1">
      <alignment horizontal="left" vertical="top" wrapText="1"/>
    </xf>
    <xf numFmtId="0" fontId="12" fillId="5" borderId="54" xfId="0" applyFont="1" applyFill="1" applyBorder="1" applyAlignment="1">
      <alignment vertical="center"/>
    </xf>
    <xf numFmtId="0" fontId="12" fillId="5" borderId="1" xfId="0" applyFont="1" applyFill="1" applyBorder="1" applyAlignment="1">
      <alignment vertical="center"/>
    </xf>
    <xf numFmtId="0" fontId="23" fillId="4" borderId="3" xfId="0" applyFont="1" applyFill="1" applyBorder="1" applyAlignment="1">
      <alignment horizontal="center" vertical="center"/>
    </xf>
    <xf numFmtId="0" fontId="23" fillId="4" borderId="9" xfId="0" applyFont="1" applyFill="1" applyBorder="1" applyAlignment="1">
      <alignment horizontal="center" vertical="center"/>
    </xf>
    <xf numFmtId="0" fontId="23" fillId="4" borderId="4" xfId="0" applyFont="1" applyFill="1" applyBorder="1" applyAlignment="1">
      <alignment horizontal="center" vertical="center"/>
    </xf>
    <xf numFmtId="0" fontId="16" fillId="0" borderId="1" xfId="0" applyFont="1" applyFill="1" applyBorder="1" applyAlignment="1">
      <alignment horizontal="left" vertical="top" wrapText="1"/>
    </xf>
    <xf numFmtId="0" fontId="12" fillId="5" borderId="54" xfId="0" applyFont="1" applyFill="1" applyBorder="1" applyAlignment="1"/>
    <xf numFmtId="0" fontId="12" fillId="5" borderId="1" xfId="0" applyFont="1" applyFill="1" applyBorder="1" applyAlignment="1"/>
    <xf numFmtId="0" fontId="16" fillId="2" borderId="1" xfId="0" applyFont="1" applyFill="1" applyBorder="1" applyAlignment="1">
      <alignment horizontal="left" vertical="top" wrapText="1"/>
    </xf>
    <xf numFmtId="0" fontId="0" fillId="0" borderId="1" xfId="0" applyBorder="1" applyAlignment="1">
      <alignment horizontal="center" wrapText="1"/>
    </xf>
    <xf numFmtId="0" fontId="23" fillId="24" borderId="3" xfId="0" applyFont="1" applyFill="1" applyBorder="1" applyAlignment="1">
      <alignment horizontal="center" vertical="center"/>
    </xf>
    <xf numFmtId="0" fontId="23" fillId="24" borderId="9" xfId="0" applyFont="1" applyFill="1" applyBorder="1" applyAlignment="1">
      <alignment horizontal="center" vertical="center"/>
    </xf>
    <xf numFmtId="0" fontId="23" fillId="24" borderId="4" xfId="0" applyFont="1" applyFill="1" applyBorder="1" applyAlignment="1">
      <alignment horizontal="center" vertical="center"/>
    </xf>
    <xf numFmtId="0" fontId="24"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16" fillId="18" borderId="52" xfId="0" applyFont="1" applyFill="1" applyBorder="1" applyAlignment="1">
      <alignment horizontal="left" vertical="center" wrapText="1"/>
    </xf>
    <xf numFmtId="0" fontId="16" fillId="18" borderId="0" xfId="0" applyFont="1" applyFill="1" applyBorder="1" applyAlignment="1">
      <alignment horizontal="left" vertical="center" wrapText="1"/>
    </xf>
    <xf numFmtId="0" fontId="16" fillId="18" borderId="45" xfId="0" applyFont="1" applyFill="1" applyBorder="1" applyAlignment="1">
      <alignment horizontal="left" vertical="center" wrapText="1"/>
    </xf>
    <xf numFmtId="0" fontId="16" fillId="2" borderId="52"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45" xfId="0" applyFont="1" applyFill="1" applyBorder="1" applyAlignment="1">
      <alignment horizontal="left" vertical="center" wrapText="1"/>
    </xf>
    <xf numFmtId="0" fontId="16" fillId="0" borderId="56"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23" fillId="24" borderId="1" xfId="0" applyFont="1" applyFill="1" applyBorder="1" applyAlignment="1">
      <alignment horizontal="center" vertical="center"/>
    </xf>
    <xf numFmtId="0" fontId="23" fillId="24" borderId="58" xfId="0" applyFont="1" applyFill="1" applyBorder="1" applyAlignment="1">
      <alignment horizontal="center" vertical="center"/>
    </xf>
    <xf numFmtId="0" fontId="1" fillId="22" borderId="0" xfId="0" applyFont="1" applyFill="1" applyBorder="1" applyAlignment="1">
      <alignment horizontal="center"/>
    </xf>
    <xf numFmtId="0" fontId="1" fillId="10" borderId="0" xfId="0" applyFont="1" applyFill="1" applyBorder="1" applyAlignment="1">
      <alignment horizontal="center"/>
    </xf>
    <xf numFmtId="0" fontId="1" fillId="25" borderId="0" xfId="0" applyFont="1" applyFill="1" applyBorder="1" applyAlignment="1">
      <alignment horizontal="center"/>
    </xf>
    <xf numFmtId="0" fontId="16" fillId="2" borderId="57"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7" xfId="0" applyFont="1" applyFill="1" applyBorder="1" applyAlignment="1">
      <alignment horizontal="left" vertical="top" wrapText="1"/>
    </xf>
    <xf numFmtId="0" fontId="16" fillId="0" borderId="5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2" borderId="3" xfId="0" applyFont="1" applyFill="1" applyBorder="1" applyAlignment="1">
      <alignment horizontal="left" vertical="top" wrapText="1"/>
    </xf>
    <xf numFmtId="0" fontId="16" fillId="2" borderId="4" xfId="0" applyFont="1" applyFill="1" applyBorder="1" applyAlignment="1">
      <alignment horizontal="left" vertical="top" wrapText="1"/>
    </xf>
    <xf numFmtId="0" fontId="12" fillId="17" borderId="0" xfId="0" applyFont="1" applyFill="1" applyBorder="1" applyAlignment="1">
      <alignment horizontal="center" vertical="center"/>
    </xf>
    <xf numFmtId="0" fontId="16" fillId="18" borderId="57" xfId="0" applyFont="1" applyFill="1" applyBorder="1" applyAlignment="1">
      <alignment horizontal="left"/>
    </xf>
    <xf numFmtId="0" fontId="16" fillId="18" borderId="5" xfId="0" applyFont="1" applyFill="1" applyBorder="1" applyAlignment="1">
      <alignment horizontal="left"/>
    </xf>
    <xf numFmtId="0" fontId="16" fillId="18" borderId="7" xfId="0" applyFont="1" applyFill="1" applyBorder="1" applyAlignment="1">
      <alignment horizontal="left"/>
    </xf>
    <xf numFmtId="0" fontId="12" fillId="0" borderId="0" xfId="0" applyFont="1" applyFill="1" applyBorder="1" applyAlignment="1">
      <alignment horizontal="center" vertical="center"/>
    </xf>
    <xf numFmtId="0" fontId="23" fillId="14" borderId="3" xfId="0" applyFont="1" applyFill="1" applyBorder="1" applyAlignment="1">
      <alignment horizontal="center" vertical="center"/>
    </xf>
    <xf numFmtId="0" fontId="23" fillId="14" borderId="9" xfId="0" applyFont="1" applyFill="1" applyBorder="1" applyAlignment="1">
      <alignment horizontal="center" vertical="center"/>
    </xf>
    <xf numFmtId="0" fontId="23" fillId="14" borderId="4" xfId="0" applyFont="1" applyFill="1" applyBorder="1" applyAlignment="1">
      <alignment horizontal="center" vertical="center"/>
    </xf>
    <xf numFmtId="0" fontId="23" fillId="16" borderId="3" xfId="0" applyFont="1" applyFill="1" applyBorder="1" applyAlignment="1">
      <alignment horizontal="center" vertical="center"/>
    </xf>
    <xf numFmtId="0" fontId="23" fillId="16" borderId="9" xfId="0" applyFont="1" applyFill="1" applyBorder="1" applyAlignment="1">
      <alignment horizontal="center" vertical="center"/>
    </xf>
    <xf numFmtId="0" fontId="23" fillId="16" borderId="4" xfId="0" applyFont="1" applyFill="1" applyBorder="1" applyAlignment="1">
      <alignment horizontal="center" vertical="center"/>
    </xf>
    <xf numFmtId="3" fontId="16" fillId="3" borderId="3" xfId="0" applyNumberFormat="1" applyFont="1" applyFill="1" applyBorder="1" applyAlignment="1">
      <alignment horizontal="center" vertical="top" wrapText="1"/>
    </xf>
    <xf numFmtId="3" fontId="16" fillId="3" borderId="9" xfId="0" applyNumberFormat="1" applyFont="1" applyFill="1" applyBorder="1" applyAlignment="1">
      <alignment horizontal="center" vertical="top" wrapText="1"/>
    </xf>
    <xf numFmtId="3" fontId="16" fillId="3" borderId="4" xfId="0" applyNumberFormat="1" applyFont="1" applyFill="1" applyBorder="1" applyAlignment="1">
      <alignment horizontal="center" vertical="top" wrapText="1"/>
    </xf>
    <xf numFmtId="3" fontId="16" fillId="19" borderId="3" xfId="0" applyNumberFormat="1" applyFont="1" applyFill="1" applyBorder="1" applyAlignment="1">
      <alignment horizontal="center" vertical="top" wrapText="1"/>
    </xf>
    <xf numFmtId="3" fontId="16" fillId="19" borderId="9" xfId="0" applyNumberFormat="1" applyFont="1" applyFill="1" applyBorder="1" applyAlignment="1">
      <alignment horizontal="center" vertical="top" wrapText="1"/>
    </xf>
    <xf numFmtId="3" fontId="16" fillId="19" borderId="4" xfId="0" applyNumberFormat="1" applyFont="1" applyFill="1" applyBorder="1" applyAlignment="1">
      <alignment horizontal="center" vertical="top" wrapText="1"/>
    </xf>
    <xf numFmtId="0" fontId="0" fillId="0" borderId="0" xfId="0" applyFill="1" applyBorder="1" applyAlignment="1">
      <alignment horizontal="center" vertical="center" wrapText="1"/>
    </xf>
    <xf numFmtId="0" fontId="11" fillId="8" borderId="52" xfId="0" applyFont="1" applyFill="1" applyBorder="1" applyAlignment="1">
      <alignment horizontal="left" vertical="center" wrapText="1"/>
    </xf>
    <xf numFmtId="0" fontId="11" fillId="8" borderId="0" xfId="0" applyFont="1" applyFill="1" applyBorder="1" applyAlignment="1">
      <alignment horizontal="left" vertical="center" wrapText="1"/>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3" fontId="16" fillId="11" borderId="3" xfId="0" applyNumberFormat="1" applyFont="1" applyFill="1" applyBorder="1" applyAlignment="1">
      <alignment horizontal="center" vertical="top" wrapText="1"/>
    </xf>
    <xf numFmtId="3" fontId="16" fillId="11" borderId="9" xfId="0" applyNumberFormat="1" applyFont="1" applyFill="1" applyBorder="1" applyAlignment="1">
      <alignment horizontal="center" vertical="top" wrapText="1"/>
    </xf>
    <xf numFmtId="3" fontId="16" fillId="11" borderId="4" xfId="0" applyNumberFormat="1" applyFont="1" applyFill="1" applyBorder="1" applyAlignment="1">
      <alignment horizontal="center" vertical="top" wrapText="1"/>
    </xf>
    <xf numFmtId="0" fontId="6" fillId="0" borderId="0" xfId="0" applyFont="1" applyFill="1" applyBorder="1" applyAlignment="1">
      <alignment horizontal="center" wrapText="1"/>
    </xf>
    <xf numFmtId="0" fontId="16" fillId="0" borderId="57" xfId="0" applyFont="1" applyBorder="1" applyAlignment="1">
      <alignment horizontal="left"/>
    </xf>
    <xf numFmtId="0" fontId="16" fillId="0" borderId="5" xfId="0" applyFont="1" applyBorder="1" applyAlignment="1">
      <alignment horizontal="left"/>
    </xf>
    <xf numFmtId="0" fontId="16" fillId="0" borderId="7" xfId="0" applyFont="1" applyBorder="1" applyAlignment="1">
      <alignment horizontal="left"/>
    </xf>
    <xf numFmtId="0" fontId="0" fillId="2" borderId="52" xfId="0" applyFill="1" applyBorder="1" applyAlignment="1">
      <alignment horizontal="left"/>
    </xf>
    <xf numFmtId="0" fontId="0" fillId="2" borderId="0" xfId="0" applyFill="1" applyBorder="1" applyAlignment="1">
      <alignment horizontal="left"/>
    </xf>
    <xf numFmtId="0" fontId="0" fillId="2" borderId="45" xfId="0" applyFill="1" applyBorder="1" applyAlignment="1">
      <alignment horizontal="left"/>
    </xf>
    <xf numFmtId="0" fontId="16" fillId="18" borderId="56" xfId="0" applyFont="1" applyFill="1" applyBorder="1" applyAlignment="1">
      <alignment horizontal="left" vertical="center" wrapText="1"/>
    </xf>
    <xf numFmtId="0" fontId="16" fillId="18" borderId="2" xfId="0" applyFont="1" applyFill="1" applyBorder="1" applyAlignment="1">
      <alignment horizontal="left" vertical="center" wrapText="1"/>
    </xf>
    <xf numFmtId="0" fontId="16" fillId="18" borderId="43" xfId="0" applyFont="1" applyFill="1" applyBorder="1" applyAlignment="1">
      <alignment horizontal="left" vertical="center" wrapText="1"/>
    </xf>
    <xf numFmtId="0" fontId="16" fillId="18" borderId="8" xfId="0" applyFont="1" applyFill="1" applyBorder="1" applyAlignment="1">
      <alignment horizontal="left" vertical="top" wrapText="1"/>
    </xf>
    <xf numFmtId="0" fontId="16" fillId="18" borderId="7" xfId="0" applyFont="1" applyFill="1" applyBorder="1" applyAlignment="1">
      <alignment horizontal="left" vertical="top" wrapText="1"/>
    </xf>
    <xf numFmtId="0" fontId="16" fillId="18" borderId="3" xfId="0" applyFont="1" applyFill="1" applyBorder="1" applyAlignment="1">
      <alignment horizontal="left" vertical="top" wrapText="1"/>
    </xf>
    <xf numFmtId="0" fontId="16" fillId="18" borderId="4" xfId="0" applyFont="1" applyFill="1" applyBorder="1" applyAlignment="1">
      <alignment horizontal="left" vertical="top" wrapText="1"/>
    </xf>
    <xf numFmtId="0" fontId="16" fillId="0" borderId="0" xfId="0" applyFont="1" applyBorder="1" applyAlignment="1">
      <alignment horizontal="center" wrapText="1"/>
    </xf>
    <xf numFmtId="0" fontId="16" fillId="0" borderId="53" xfId="0" applyFont="1" applyBorder="1" applyAlignment="1">
      <alignment horizontal="center" wrapText="1"/>
    </xf>
    <xf numFmtId="0" fontId="5" fillId="4" borderId="12"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12" fillId="5" borderId="61" xfId="0" applyFont="1" applyFill="1" applyBorder="1" applyAlignment="1"/>
    <xf numFmtId="0" fontId="12" fillId="5" borderId="9" xfId="0" applyFont="1" applyFill="1" applyBorder="1" applyAlignment="1"/>
    <xf numFmtId="0" fontId="12" fillId="5" borderId="4" xfId="0" applyFont="1" applyFill="1" applyBorder="1" applyAlignment="1"/>
    <xf numFmtId="0" fontId="16" fillId="0" borderId="8" xfId="0" applyFont="1" applyFill="1" applyBorder="1" applyAlignment="1">
      <alignment horizontal="left" vertical="top" wrapText="1"/>
    </xf>
    <xf numFmtId="0" fontId="16" fillId="0" borderId="7" xfId="0" applyFont="1" applyFill="1" applyBorder="1" applyAlignment="1">
      <alignment horizontal="left" vertical="top" wrapText="1"/>
    </xf>
    <xf numFmtId="0" fontId="12" fillId="17" borderId="3" xfId="0" applyFont="1" applyFill="1" applyBorder="1" applyAlignment="1">
      <alignment horizontal="center" vertical="center"/>
    </xf>
    <xf numFmtId="0" fontId="12" fillId="17" borderId="9" xfId="0" applyFont="1" applyFill="1" applyBorder="1" applyAlignment="1">
      <alignment horizontal="center" vertical="center"/>
    </xf>
    <xf numFmtId="0" fontId="12" fillId="17" borderId="4" xfId="0" applyFont="1" applyFill="1" applyBorder="1" applyAlignment="1">
      <alignment horizontal="center" vertical="center"/>
    </xf>
    <xf numFmtId="0" fontId="12" fillId="17" borderId="1" xfId="0" applyFont="1" applyFill="1" applyBorder="1" applyAlignment="1">
      <alignment horizontal="center" vertical="center"/>
    </xf>
    <xf numFmtId="0" fontId="35" fillId="5" borderId="60" xfId="0" applyFont="1" applyFill="1" applyBorder="1" applyAlignment="1">
      <alignment horizontal="left" vertical="center" wrapText="1"/>
    </xf>
    <xf numFmtId="0" fontId="11" fillId="5" borderId="22" xfId="0" applyFont="1" applyFill="1" applyBorder="1" applyAlignment="1">
      <alignment horizontal="left" vertical="center" wrapText="1"/>
    </xf>
    <xf numFmtId="0" fontId="12" fillId="5" borderId="56" xfId="0" applyFont="1" applyFill="1" applyBorder="1" applyAlignment="1">
      <alignment horizontal="left" vertical="center"/>
    </xf>
    <xf numFmtId="0" fontId="12" fillId="5" borderId="2"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5" xfId="0" applyFont="1" applyFill="1" applyBorder="1" applyAlignment="1">
      <alignment horizontal="left" vertical="center"/>
    </xf>
    <xf numFmtId="0" fontId="16" fillId="18" borderId="19" xfId="0" applyFont="1" applyFill="1" applyBorder="1" applyAlignment="1">
      <alignment horizontal="left" vertical="top" wrapText="1"/>
    </xf>
    <xf numFmtId="0" fontId="16" fillId="18" borderId="20" xfId="0" applyFont="1" applyFill="1" applyBorder="1" applyAlignment="1">
      <alignment horizontal="left" vertical="top" wrapText="1"/>
    </xf>
    <xf numFmtId="0" fontId="0" fillId="0" borderId="0" xfId="0" applyBorder="1" applyAlignment="1">
      <alignment horizontal="center" wrapText="1"/>
    </xf>
    <xf numFmtId="3" fontId="16" fillId="25" borderId="19" xfId="0" applyNumberFormat="1" applyFont="1" applyFill="1" applyBorder="1" applyAlignment="1">
      <alignment horizontal="center" vertical="top" wrapText="1"/>
    </xf>
    <xf numFmtId="3" fontId="16" fillId="25" borderId="22" xfId="0" applyNumberFormat="1" applyFont="1" applyFill="1" applyBorder="1" applyAlignment="1">
      <alignment horizontal="center" vertical="top" wrapText="1"/>
    </xf>
    <xf numFmtId="3" fontId="16" fillId="25" borderId="20" xfId="0" applyNumberFormat="1" applyFont="1" applyFill="1" applyBorder="1" applyAlignment="1">
      <alignment horizontal="center" vertical="top" wrapText="1"/>
    </xf>
    <xf numFmtId="0" fontId="5" fillId="16" borderId="12" xfId="0" applyFont="1" applyFill="1" applyBorder="1" applyAlignment="1">
      <alignment horizontal="center" vertical="top"/>
    </xf>
    <xf numFmtId="0" fontId="5" fillId="16" borderId="21" xfId="0" applyFont="1" applyFill="1" applyBorder="1" applyAlignment="1">
      <alignment horizontal="center" vertical="top"/>
    </xf>
    <xf numFmtId="0" fontId="5" fillId="16" borderId="11" xfId="0" applyFont="1" applyFill="1" applyBorder="1" applyAlignment="1">
      <alignment horizontal="center" vertical="top"/>
    </xf>
    <xf numFmtId="0" fontId="5" fillId="24" borderId="12" xfId="0" applyFont="1" applyFill="1" applyBorder="1" applyAlignment="1">
      <alignment horizontal="center" vertical="top"/>
    </xf>
    <xf numFmtId="0" fontId="5" fillId="24" borderId="21" xfId="0" applyFont="1" applyFill="1" applyBorder="1" applyAlignment="1">
      <alignment horizontal="center" vertical="top"/>
    </xf>
    <xf numFmtId="0" fontId="5" fillId="24" borderId="11" xfId="0" applyFont="1" applyFill="1" applyBorder="1" applyAlignment="1">
      <alignment horizontal="center" vertical="top"/>
    </xf>
    <xf numFmtId="3" fontId="16" fillId="10" borderId="19" xfId="0" applyNumberFormat="1" applyFont="1" applyFill="1" applyBorder="1" applyAlignment="1">
      <alignment horizontal="center" vertical="top" wrapText="1"/>
    </xf>
    <xf numFmtId="3" fontId="16" fillId="10" borderId="22" xfId="0" applyNumberFormat="1" applyFont="1" applyFill="1" applyBorder="1" applyAlignment="1">
      <alignment horizontal="center" vertical="top" wrapText="1"/>
    </xf>
    <xf numFmtId="3" fontId="16" fillId="10" borderId="20" xfId="0" applyNumberFormat="1" applyFont="1" applyFill="1" applyBorder="1" applyAlignment="1">
      <alignment horizontal="center" vertical="top" wrapText="1"/>
    </xf>
    <xf numFmtId="3" fontId="16" fillId="12" borderId="3" xfId="0" applyNumberFormat="1" applyFont="1" applyFill="1" applyBorder="1" applyAlignment="1">
      <alignment horizontal="center" vertical="top" wrapText="1"/>
    </xf>
    <xf numFmtId="3" fontId="16" fillId="12" borderId="9" xfId="0" applyNumberFormat="1" applyFont="1" applyFill="1" applyBorder="1" applyAlignment="1">
      <alignment horizontal="center" vertical="top" wrapText="1"/>
    </xf>
    <xf numFmtId="3" fontId="16" fillId="12" borderId="4" xfId="0" applyNumberFormat="1" applyFont="1" applyFill="1" applyBorder="1" applyAlignment="1">
      <alignment horizontal="center" vertical="top" wrapText="1"/>
    </xf>
    <xf numFmtId="0" fontId="35" fillId="5" borderId="31" xfId="0" applyFont="1" applyFill="1" applyBorder="1" applyAlignment="1">
      <alignment horizontal="left" vertical="center" wrapText="1"/>
    </xf>
    <xf numFmtId="0" fontId="35" fillId="5" borderId="50" xfId="0" applyFont="1" applyFill="1" applyBorder="1" applyAlignment="1">
      <alignment horizontal="left" vertical="center" wrapText="1"/>
    </xf>
    <xf numFmtId="0" fontId="12" fillId="5" borderId="0" xfId="0" applyFont="1" applyFill="1" applyBorder="1" applyAlignment="1">
      <alignment horizontal="center" vertical="center"/>
    </xf>
    <xf numFmtId="0" fontId="12" fillId="5" borderId="53" xfId="0" applyFont="1" applyFill="1" applyBorder="1" applyAlignment="1">
      <alignment horizontal="center" vertical="center"/>
    </xf>
    <xf numFmtId="0" fontId="16" fillId="0" borderId="35" xfId="0" applyFont="1" applyFill="1" applyBorder="1" applyAlignment="1">
      <alignment horizontal="left" vertical="top" wrapText="1"/>
    </xf>
    <xf numFmtId="0" fontId="16" fillId="0" borderId="36" xfId="0" applyFont="1" applyFill="1" applyBorder="1" applyAlignment="1">
      <alignment horizontal="left" vertical="top" wrapText="1"/>
    </xf>
    <xf numFmtId="3" fontId="16" fillId="12" borderId="35" xfId="0" applyNumberFormat="1" applyFont="1" applyFill="1" applyBorder="1" applyAlignment="1">
      <alignment horizontal="center" vertical="top" wrapText="1"/>
    </xf>
    <xf numFmtId="3" fontId="16" fillId="12" borderId="31" xfId="0" applyNumberFormat="1" applyFont="1" applyFill="1" applyBorder="1" applyAlignment="1">
      <alignment horizontal="center" vertical="top" wrapText="1"/>
    </xf>
    <xf numFmtId="3" fontId="16" fillId="12" borderId="36" xfId="0" applyNumberFormat="1" applyFont="1" applyFill="1" applyBorder="1" applyAlignment="1">
      <alignment horizontal="center" vertical="top" wrapText="1"/>
    </xf>
    <xf numFmtId="3" fontId="16" fillId="12" borderId="19" xfId="0" applyNumberFormat="1" applyFont="1" applyFill="1" applyBorder="1" applyAlignment="1">
      <alignment horizontal="center" vertical="top" wrapText="1"/>
    </xf>
    <xf numFmtId="3" fontId="16" fillId="12" borderId="22" xfId="0" applyNumberFormat="1" applyFont="1" applyFill="1" applyBorder="1" applyAlignment="1">
      <alignment horizontal="center" vertical="top" wrapText="1"/>
    </xf>
    <xf numFmtId="3" fontId="16" fillId="12" borderId="20" xfId="0" applyNumberFormat="1" applyFont="1" applyFill="1" applyBorder="1" applyAlignment="1">
      <alignment horizontal="center" vertical="top" wrapText="1"/>
    </xf>
    <xf numFmtId="0" fontId="12" fillId="5" borderId="46" xfId="0" applyFont="1" applyFill="1" applyBorder="1" applyAlignment="1">
      <alignment horizontal="left" vertical="center"/>
    </xf>
    <xf numFmtId="0" fontId="12" fillId="5" borderId="43" xfId="0" applyFont="1" applyFill="1" applyBorder="1" applyAlignment="1">
      <alignment horizontal="left" vertical="center"/>
    </xf>
    <xf numFmtId="0" fontId="12" fillId="5" borderId="8" xfId="0" applyFont="1" applyFill="1" applyBorder="1" applyAlignment="1">
      <alignment horizontal="left" vertical="center"/>
    </xf>
    <xf numFmtId="0" fontId="12" fillId="5" borderId="7" xfId="0" applyFont="1" applyFill="1" applyBorder="1" applyAlignment="1">
      <alignment horizontal="left" vertical="center"/>
    </xf>
    <xf numFmtId="0" fontId="5" fillId="14" borderId="12" xfId="0" applyFont="1" applyFill="1" applyBorder="1" applyAlignment="1">
      <alignment horizontal="center" vertical="top"/>
    </xf>
    <xf numFmtId="0" fontId="5" fillId="14" borderId="21" xfId="0" applyFont="1" applyFill="1" applyBorder="1" applyAlignment="1">
      <alignment horizontal="center" vertical="top"/>
    </xf>
    <xf numFmtId="0" fontId="5" fillId="14" borderId="11" xfId="0" applyFont="1" applyFill="1" applyBorder="1" applyAlignment="1">
      <alignment horizontal="center" vertical="top"/>
    </xf>
    <xf numFmtId="0" fontId="23" fillId="9" borderId="3" xfId="0" applyFont="1" applyFill="1" applyBorder="1" applyAlignment="1">
      <alignment horizontal="center" vertical="center"/>
    </xf>
    <xf numFmtId="0" fontId="23" fillId="9" borderId="9" xfId="0" applyFont="1" applyFill="1" applyBorder="1" applyAlignment="1">
      <alignment horizontal="center" vertical="center"/>
    </xf>
    <xf numFmtId="0" fontId="23" fillId="9" borderId="4" xfId="0" applyFont="1" applyFill="1" applyBorder="1" applyAlignment="1">
      <alignment horizontal="center" vertical="center"/>
    </xf>
    <xf numFmtId="0" fontId="5" fillId="9" borderId="12" xfId="0" applyFont="1" applyFill="1" applyBorder="1" applyAlignment="1">
      <alignment horizontal="center" vertical="top"/>
    </xf>
    <xf numFmtId="0" fontId="5" fillId="9" borderId="21" xfId="0" applyFont="1" applyFill="1" applyBorder="1" applyAlignment="1">
      <alignment horizontal="center" vertical="top"/>
    </xf>
    <xf numFmtId="0" fontId="5" fillId="9" borderId="11" xfId="0" applyFont="1" applyFill="1" applyBorder="1" applyAlignment="1">
      <alignment horizontal="center" vertical="top"/>
    </xf>
    <xf numFmtId="3" fontId="16" fillId="3" borderId="35" xfId="0" applyNumberFormat="1" applyFont="1" applyFill="1" applyBorder="1" applyAlignment="1">
      <alignment horizontal="center" vertical="top" wrapText="1"/>
    </xf>
    <xf numFmtId="3" fontId="16" fillId="3" borderId="31" xfId="0" applyNumberFormat="1" applyFont="1" applyFill="1" applyBorder="1" applyAlignment="1">
      <alignment horizontal="center" vertical="top" wrapText="1"/>
    </xf>
    <xf numFmtId="3" fontId="16" fillId="3" borderId="36" xfId="0" applyNumberFormat="1" applyFont="1" applyFill="1" applyBorder="1" applyAlignment="1">
      <alignment horizontal="center" vertical="top" wrapText="1"/>
    </xf>
    <xf numFmtId="3" fontId="16" fillId="3" borderId="19" xfId="0" applyNumberFormat="1" applyFont="1" applyFill="1" applyBorder="1" applyAlignment="1">
      <alignment horizontal="center" vertical="top" wrapText="1"/>
    </xf>
    <xf numFmtId="3" fontId="16" fillId="3" borderId="22" xfId="0" applyNumberFormat="1" applyFont="1" applyFill="1" applyBorder="1" applyAlignment="1">
      <alignment horizontal="center" vertical="top" wrapText="1"/>
    </xf>
    <xf numFmtId="3" fontId="16" fillId="3" borderId="20" xfId="0" applyNumberFormat="1" applyFont="1" applyFill="1" applyBorder="1" applyAlignment="1">
      <alignment horizontal="center" vertical="top" wrapText="1"/>
    </xf>
    <xf numFmtId="0" fontId="16" fillId="2" borderId="57" xfId="0" applyFont="1" applyFill="1" applyBorder="1" applyAlignment="1">
      <alignment horizontal="left"/>
    </xf>
    <xf numFmtId="0" fontId="16" fillId="2" borderId="5" xfId="0" applyFont="1" applyFill="1" applyBorder="1" applyAlignment="1">
      <alignment horizontal="left"/>
    </xf>
    <xf numFmtId="0" fontId="16" fillId="2" borderId="7" xfId="0" applyFont="1" applyFill="1" applyBorder="1" applyAlignment="1">
      <alignment horizontal="left"/>
    </xf>
    <xf numFmtId="0" fontId="16" fillId="2" borderId="57"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0" borderId="19" xfId="0" applyFont="1" applyFill="1" applyBorder="1" applyAlignment="1">
      <alignment horizontal="left" vertical="top" wrapText="1"/>
    </xf>
    <xf numFmtId="0" fontId="16" fillId="0" borderId="20" xfId="0" applyFont="1" applyFill="1" applyBorder="1" applyAlignment="1">
      <alignment horizontal="left" vertical="top" wrapText="1"/>
    </xf>
    <xf numFmtId="0" fontId="16" fillId="0" borderId="52" xfId="0" applyFont="1" applyBorder="1" applyAlignment="1">
      <alignment horizontal="left"/>
    </xf>
    <xf numFmtId="0" fontId="16" fillId="0" borderId="0" xfId="0" applyFont="1" applyBorder="1" applyAlignment="1">
      <alignment horizontal="left"/>
    </xf>
    <xf numFmtId="0" fontId="16" fillId="0" borderId="45" xfId="0" applyFont="1" applyBorder="1" applyAlignment="1">
      <alignment horizontal="left"/>
    </xf>
    <xf numFmtId="0" fontId="5" fillId="24" borderId="62" xfId="0" applyFont="1" applyFill="1" applyBorder="1" applyAlignment="1">
      <alignment horizontal="center" vertical="top"/>
    </xf>
    <xf numFmtId="3" fontId="16" fillId="25" borderId="39" xfId="0" applyNumberFormat="1" applyFont="1" applyFill="1" applyBorder="1" applyAlignment="1">
      <alignment horizontal="center" vertical="top" wrapText="1"/>
    </xf>
    <xf numFmtId="3" fontId="16" fillId="25" borderId="35" xfId="0" applyNumberFormat="1" applyFont="1" applyFill="1" applyBorder="1" applyAlignment="1">
      <alignment horizontal="center" vertical="top" wrapText="1"/>
    </xf>
    <xf numFmtId="3" fontId="16" fillId="25" borderId="31" xfId="0" applyNumberFormat="1" applyFont="1" applyFill="1" applyBorder="1" applyAlignment="1">
      <alignment horizontal="center" vertical="top" wrapText="1"/>
    </xf>
    <xf numFmtId="3" fontId="16" fillId="25" borderId="36" xfId="0" applyNumberFormat="1" applyFont="1" applyFill="1" applyBorder="1" applyAlignment="1">
      <alignment horizontal="center" vertical="top" wrapText="1"/>
    </xf>
    <xf numFmtId="0" fontId="23" fillId="24" borderId="59" xfId="0" applyFont="1" applyFill="1" applyBorder="1" applyAlignment="1">
      <alignment horizontal="center" vertical="center"/>
    </xf>
    <xf numFmtId="0" fontId="30" fillId="2" borderId="50" xfId="6" applyFont="1" applyFill="1" applyBorder="1" applyAlignment="1">
      <alignment horizontal="left" vertical="top" wrapText="1"/>
    </xf>
    <xf numFmtId="0" fontId="30" fillId="2" borderId="51" xfId="6" applyFont="1" applyFill="1" applyBorder="1" applyAlignment="1">
      <alignment horizontal="left" vertical="top" wrapText="1"/>
    </xf>
    <xf numFmtId="9" fontId="0" fillId="0" borderId="50" xfId="8" applyFont="1" applyFill="1" applyBorder="1" applyAlignment="1">
      <alignment horizontal="center"/>
    </xf>
    <xf numFmtId="9" fontId="0" fillId="0" borderId="53" xfId="8" applyFont="1" applyFill="1" applyBorder="1" applyAlignment="1">
      <alignment horizontal="center"/>
    </xf>
    <xf numFmtId="9" fontId="0" fillId="0" borderId="63" xfId="8" applyFont="1" applyFill="1" applyBorder="1" applyAlignment="1">
      <alignment horizontal="center"/>
    </xf>
    <xf numFmtId="0" fontId="27" fillId="0" borderId="53" xfId="6" applyBorder="1" applyAlignment="1">
      <alignment horizontal="center"/>
    </xf>
    <xf numFmtId="0" fontId="42" fillId="2" borderId="28" xfId="6" applyFont="1" applyFill="1" applyBorder="1" applyAlignment="1">
      <alignment horizontal="center" vertical="center"/>
    </xf>
    <xf numFmtId="0" fontId="42" fillId="2" borderId="27" xfId="6" applyFont="1" applyFill="1" applyBorder="1" applyAlignment="1">
      <alignment horizontal="center" vertical="center"/>
    </xf>
    <xf numFmtId="0" fontId="31" fillId="2" borderId="28" xfId="6" applyFont="1" applyFill="1" applyBorder="1" applyAlignment="1">
      <alignment horizontal="center" vertical="center"/>
    </xf>
    <xf numFmtId="0" fontId="31" fillId="2" borderId="29" xfId="6" applyFont="1" applyFill="1" applyBorder="1" applyAlignment="1">
      <alignment horizontal="center" vertical="center"/>
    </xf>
    <xf numFmtId="0" fontId="31" fillId="2" borderId="27" xfId="6" applyFont="1" applyFill="1" applyBorder="1" applyAlignment="1">
      <alignment horizontal="center" vertical="center"/>
    </xf>
    <xf numFmtId="0" fontId="31" fillId="2" borderId="28" xfId="6" applyFont="1" applyFill="1" applyBorder="1" applyAlignment="1">
      <alignment horizontal="left" vertical="center" wrapText="1"/>
    </xf>
    <xf numFmtId="0" fontId="31" fillId="2" borderId="29" xfId="6" applyFont="1" applyFill="1" applyBorder="1" applyAlignment="1">
      <alignment horizontal="left" vertical="center" wrapText="1"/>
    </xf>
    <xf numFmtId="0" fontId="31" fillId="2" borderId="27" xfId="6" applyFont="1" applyFill="1" applyBorder="1" applyAlignment="1">
      <alignment horizontal="left" vertical="center" wrapText="1"/>
    </xf>
    <xf numFmtId="0" fontId="44" fillId="2" borderId="28" xfId="6" applyFont="1" applyFill="1" applyBorder="1" applyAlignment="1">
      <alignment horizontal="left" vertical="center" wrapText="1"/>
    </xf>
    <xf numFmtId="0" fontId="44" fillId="2" borderId="29" xfId="6" applyFont="1" applyFill="1" applyBorder="1" applyAlignment="1">
      <alignment horizontal="left" vertical="center" wrapText="1"/>
    </xf>
    <xf numFmtId="0" fontId="44" fillId="2" borderId="27" xfId="6" applyFont="1" applyFill="1" applyBorder="1" applyAlignment="1">
      <alignment horizontal="left" vertical="center" wrapText="1"/>
    </xf>
    <xf numFmtId="0" fontId="5" fillId="2" borderId="28" xfId="6" applyFont="1" applyFill="1" applyBorder="1" applyAlignment="1">
      <alignment horizontal="left" vertical="center" wrapText="1"/>
    </xf>
    <xf numFmtId="0" fontId="5" fillId="2" borderId="29" xfId="6" applyFont="1" applyFill="1" applyBorder="1" applyAlignment="1">
      <alignment horizontal="left" vertical="center" wrapText="1"/>
    </xf>
    <xf numFmtId="0" fontId="5" fillId="2" borderId="27" xfId="6" applyFont="1" applyFill="1" applyBorder="1" applyAlignment="1">
      <alignment horizontal="left" vertical="center" wrapText="1"/>
    </xf>
    <xf numFmtId="0" fontId="42" fillId="2" borderId="30" xfId="6" applyFont="1" applyFill="1" applyBorder="1" applyAlignment="1">
      <alignment horizontal="left" vertical="center" wrapText="1"/>
    </xf>
    <xf numFmtId="0" fontId="42" fillId="2" borderId="32" xfId="6" applyFont="1" applyFill="1" applyBorder="1" applyAlignment="1">
      <alignment horizontal="left" vertical="center" wrapText="1"/>
    </xf>
    <xf numFmtId="0" fontId="42" fillId="2" borderId="31" xfId="6" applyFont="1" applyFill="1" applyBorder="1" applyAlignment="1">
      <alignment horizontal="center" wrapText="1"/>
    </xf>
    <xf numFmtId="0" fontId="42" fillId="2" borderId="33" xfId="6" applyFont="1" applyFill="1" applyBorder="1" applyAlignment="1">
      <alignment horizontal="center" wrapText="1"/>
    </xf>
    <xf numFmtId="0" fontId="42" fillId="2" borderId="31" xfId="6" applyFont="1" applyFill="1" applyBorder="1" applyAlignment="1">
      <alignment horizontal="left" vertical="top" wrapText="1"/>
    </xf>
    <xf numFmtId="0" fontId="42" fillId="2" borderId="33" xfId="6" applyFont="1" applyFill="1" applyBorder="1" applyAlignment="1">
      <alignment horizontal="left" vertical="top" wrapText="1"/>
    </xf>
  </cellXfs>
  <cellStyles count="10">
    <cellStyle name="Comma" xfId="5" builtinId="3"/>
    <cellStyle name="Comma 2" xfId="3"/>
    <cellStyle name="Currency" xfId="9" builtinId="4"/>
    <cellStyle name="Currency 2" xfId="7"/>
    <cellStyle name="Normal" xfId="0" builtinId="0"/>
    <cellStyle name="Normal 2" xfId="2"/>
    <cellStyle name="Normal 3" xfId="6"/>
    <cellStyle name="Percent" xfId="1" builtinId="5"/>
    <cellStyle name="Percent 2" xfId="4"/>
    <cellStyle name="Percent 3" xfId="8"/>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18" sqref="A18"/>
    </sheetView>
  </sheetViews>
  <sheetFormatPr defaultColWidth="8.85546875" defaultRowHeight="15" x14ac:dyDescent="0.25"/>
  <cols>
    <col min="1" max="1" width="111.28515625" customWidth="1"/>
  </cols>
  <sheetData>
    <row r="1" spans="1:1" ht="28.5" x14ac:dyDescent="0.45">
      <c r="A1" s="14" t="s">
        <v>218</v>
      </c>
    </row>
    <row r="2" spans="1:1" x14ac:dyDescent="0.25">
      <c r="A2" s="1"/>
    </row>
    <row r="3" spans="1:1" x14ac:dyDescent="0.25">
      <c r="A3" s="16" t="s">
        <v>37</v>
      </c>
    </row>
    <row r="4" spans="1:1" x14ac:dyDescent="0.25">
      <c r="A4" s="16" t="s">
        <v>38</v>
      </c>
    </row>
    <row r="5" spans="1:1" x14ac:dyDescent="0.25">
      <c r="A5" s="16" t="s">
        <v>219</v>
      </c>
    </row>
    <row r="6" spans="1:1" ht="30" x14ac:dyDescent="0.25">
      <c r="A6" s="16" t="s">
        <v>39</v>
      </c>
    </row>
    <row r="7" spans="1:1" x14ac:dyDescent="0.25">
      <c r="A7" s="16" t="s">
        <v>42</v>
      </c>
    </row>
    <row r="8" spans="1:1" x14ac:dyDescent="0.25">
      <c r="A8" s="16" t="s">
        <v>220</v>
      </c>
    </row>
    <row r="9" spans="1:1" x14ac:dyDescent="0.25">
      <c r="A9" s="16"/>
    </row>
    <row r="14" spans="1:1" ht="15" customHeight="1" x14ac:dyDescent="0.25"/>
    <row r="17" ht="15" customHeight="1" x14ac:dyDescent="0.25"/>
    <row r="18" ht="15" customHeight="1" x14ac:dyDescent="0.25"/>
    <row r="19" ht="1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tabSelected="1" zoomScale="80" zoomScaleNormal="80" workbookViewId="0">
      <selection activeCell="E11" sqref="E11"/>
    </sheetView>
  </sheetViews>
  <sheetFormatPr defaultColWidth="8.85546875" defaultRowHeight="15" x14ac:dyDescent="0.25"/>
  <cols>
    <col min="1" max="1" width="25.140625" style="47" customWidth="1"/>
    <col min="2" max="2" width="36.140625" customWidth="1"/>
    <col min="3" max="3" width="19.42578125" customWidth="1"/>
    <col min="4" max="4" width="19.28515625" customWidth="1"/>
    <col min="5" max="5" width="20.5703125" customWidth="1"/>
    <col min="6" max="6" width="19.140625" customWidth="1"/>
    <col min="7" max="7" width="19.85546875" customWidth="1"/>
    <col min="8" max="8" width="22.5703125" customWidth="1"/>
    <col min="9" max="9" width="21.28515625" customWidth="1"/>
    <col min="10" max="10" width="19.140625" customWidth="1"/>
    <col min="11" max="11" width="20.42578125" customWidth="1"/>
  </cols>
  <sheetData>
    <row r="1" spans="1:5" ht="21" x14ac:dyDescent="0.25">
      <c r="A1" s="17" t="s">
        <v>120</v>
      </c>
      <c r="B1" s="20" t="s">
        <v>343</v>
      </c>
      <c r="C1" s="2"/>
    </row>
    <row r="2" spans="1:5" ht="21" x14ac:dyDescent="0.25">
      <c r="A2" s="17"/>
      <c r="B2" s="20"/>
      <c r="C2" s="13"/>
    </row>
    <row r="3" spans="1:5" x14ac:dyDescent="0.25">
      <c r="A3" s="18" t="s">
        <v>261</v>
      </c>
      <c r="B3" s="21" t="s">
        <v>121</v>
      </c>
      <c r="C3" s="13"/>
    </row>
    <row r="4" spans="1:5" x14ac:dyDescent="0.25">
      <c r="A4" s="19" t="s">
        <v>40</v>
      </c>
      <c r="B4" s="22" t="s">
        <v>122</v>
      </c>
      <c r="C4" s="13"/>
    </row>
    <row r="5" spans="1:5" ht="51" x14ac:dyDescent="0.25">
      <c r="A5" s="19" t="s">
        <v>41</v>
      </c>
      <c r="B5" s="23" t="s">
        <v>198</v>
      </c>
      <c r="C5" s="13"/>
    </row>
    <row r="6" spans="1:5" ht="21" x14ac:dyDescent="0.25">
      <c r="A6" s="15"/>
      <c r="B6" s="12"/>
      <c r="C6" s="13"/>
    </row>
    <row r="7" spans="1:5" ht="21" x14ac:dyDescent="0.25">
      <c r="A7" s="532" t="s">
        <v>8</v>
      </c>
      <c r="B7" s="533"/>
      <c r="C7" s="229">
        <v>2018</v>
      </c>
      <c r="D7" s="49">
        <v>2019</v>
      </c>
      <c r="E7" s="231">
        <v>2020</v>
      </c>
    </row>
    <row r="8" spans="1:5" ht="15.75" x14ac:dyDescent="0.25">
      <c r="A8" s="24"/>
      <c r="B8" s="25" t="s">
        <v>243</v>
      </c>
      <c r="C8" s="525">
        <f>C25+C29+C32</f>
        <v>207875000</v>
      </c>
      <c r="D8" s="526">
        <f>F25+F29+F32</f>
        <v>200325000</v>
      </c>
      <c r="E8" s="527">
        <f>I25+I29+I32</f>
        <v>189225000</v>
      </c>
    </row>
    <row r="9" spans="1:5" ht="18.75" x14ac:dyDescent="0.25">
      <c r="A9" s="24"/>
      <c r="B9" s="20" t="s">
        <v>23</v>
      </c>
      <c r="C9" s="228">
        <f>(D25+D29+D32)/C8</f>
        <v>0.11307276007215875</v>
      </c>
      <c r="D9" s="230">
        <f>(G25+F11+G29+G32)/D8</f>
        <v>0.11078247847248221</v>
      </c>
      <c r="E9" s="227">
        <f>(J25+J29+J32)/E8</f>
        <v>0.11728101466508126</v>
      </c>
    </row>
    <row r="10" spans="1:5" ht="18.75" x14ac:dyDescent="0.25">
      <c r="A10" s="24"/>
      <c r="B10" s="20" t="s">
        <v>24</v>
      </c>
      <c r="C10" s="228">
        <f>1-C9</f>
        <v>0.88692723992784128</v>
      </c>
      <c r="D10" s="230">
        <f>1-D9</f>
        <v>0.88921752152751776</v>
      </c>
      <c r="E10" s="227">
        <f>1-E9</f>
        <v>0.88271898533491877</v>
      </c>
    </row>
    <row r="11" spans="1:5" ht="18.75" x14ac:dyDescent="0.25">
      <c r="A11" s="12"/>
      <c r="B11" s="7"/>
      <c r="C11" s="7"/>
    </row>
    <row r="12" spans="1:5" ht="39" customHeight="1" x14ac:dyDescent="0.25">
      <c r="A12" s="534" t="s">
        <v>31</v>
      </c>
      <c r="B12" s="535"/>
      <c r="C12" s="237" t="s">
        <v>195</v>
      </c>
      <c r="D12" s="51" t="s">
        <v>196</v>
      </c>
      <c r="E12" s="232" t="s">
        <v>197</v>
      </c>
    </row>
    <row r="13" spans="1:5" ht="15.75" x14ac:dyDescent="0.25">
      <c r="A13" s="238" t="s">
        <v>26</v>
      </c>
      <c r="B13" s="239">
        <f>C13+D13+E13</f>
        <v>182168.76923076925</v>
      </c>
      <c r="C13" s="240">
        <f>SUM(C14:C17)</f>
        <v>60662.923076923071</v>
      </c>
      <c r="D13" s="241">
        <f>SUM(D14:D17)</f>
        <v>60647.923076923078</v>
      </c>
      <c r="E13" s="286">
        <f>E14+E15+E16+E17</f>
        <v>60857.923076923078</v>
      </c>
    </row>
    <row r="14" spans="1:5" x14ac:dyDescent="0.25">
      <c r="A14" s="20" t="s">
        <v>30</v>
      </c>
      <c r="B14" s="236">
        <f t="shared" ref="B14:B17" si="0">C14+D14+E14</f>
        <v>67533.16025641025</v>
      </c>
      <c r="C14" s="50">
        <f>'Lh Budgetting'!T4</f>
        <v>22475.108974358973</v>
      </c>
      <c r="D14" s="234">
        <f>'Lh Budgetting'!AB10+'Lh Budgetting'!AB11+'Lh Budgetting'!AB12+'Lh Budgetting'!AB14+'Lh Budgetting'!T18</f>
        <v>22488.13675213675</v>
      </c>
      <c r="E14" s="235">
        <f>'Lh Budgetting'!AH10+'Lh Budgetting'!AH11+'Lh Budgetting'!AH12+'Lh Budgetting'!AH14+'Lh Budgetting'!T18</f>
        <v>22569.914529914531</v>
      </c>
    </row>
    <row r="15" spans="1:5" x14ac:dyDescent="0.25">
      <c r="A15" s="20" t="s">
        <v>29</v>
      </c>
      <c r="B15" s="236">
        <f t="shared" si="0"/>
        <v>105821.65384615384</v>
      </c>
      <c r="C15" s="50">
        <f>'Lh Budgetting'!$S$4</f>
        <v>35259.217948717953</v>
      </c>
      <c r="D15" s="234">
        <f>'Lh Budgetting'!AA10+'Lh Budgetting'!AA11+'Lh Budgetting'!AA12+'Lh Budgetting'!AA14+'Lh Budgetting'!S18</f>
        <v>35226.384615384617</v>
      </c>
      <c r="E15" s="235">
        <f>'Lh Budgetting'!AG10+'Lh Budgetting'!AG11+'Lh Budgetting'!AG12+'Lh Budgetting'!AG14+'Lh Budgetting'!S18</f>
        <v>35336.051282051281</v>
      </c>
    </row>
    <row r="16" spans="1:5" x14ac:dyDescent="0.25">
      <c r="A16" s="20" t="s">
        <v>28</v>
      </c>
      <c r="B16" s="236">
        <f t="shared" si="0"/>
        <v>2639.4198717948721</v>
      </c>
      <c r="C16" s="50">
        <f>'Lh Budgetting'!V4</f>
        <v>876.77884615384619</v>
      </c>
      <c r="D16" s="234">
        <f>'Lh Budgetting'!AD10+'Lh Budgetting'!AD11+'Lh Budgetting'!AD12+'Lh Budgetting'!AD14+'Lh Budgetting'!V18</f>
        <v>878.4316239316239</v>
      </c>
      <c r="E16" s="235">
        <f>'Lh Budgetting'!AJ10+'Lh Budgetting'!AJ11+'Lh Budgetting'!AJ12+'Lh Budgetting'!AJ14+'Lh Budgetting'!V18</f>
        <v>884.20940170940173</v>
      </c>
    </row>
    <row r="17" spans="1:11" x14ac:dyDescent="0.25">
      <c r="A17" s="20" t="s">
        <v>27</v>
      </c>
      <c r="B17" s="236">
        <f t="shared" si="0"/>
        <v>6174.5352564102559</v>
      </c>
      <c r="C17" s="50">
        <f>'Lh Budgetting'!U4</f>
        <v>2051.8173076923076</v>
      </c>
      <c r="D17" s="234">
        <f>'Lh Budgetting'!AC10+'Lh Budgetting'!AC11+'Lh Budgetting'!AC12+'Lh Budgetting'!AC14+'Lh Budgetting'!U18</f>
        <v>2054.9700854700855</v>
      </c>
      <c r="E17" s="235">
        <f>'Lh Budgetting'!AI10+'Lh Budgetting'!AI11+'Lh Budgetting'!AI12+'Lh Budgetting'!AI14+'Lh Budgetting'!U18</f>
        <v>2067.7478632478633</v>
      </c>
    </row>
    <row r="18" spans="1:11" x14ac:dyDescent="0.25">
      <c r="A18" s="20" t="s">
        <v>35</v>
      </c>
      <c r="B18" s="26">
        <v>0</v>
      </c>
      <c r="C18" s="50" t="s">
        <v>279</v>
      </c>
      <c r="D18" s="129" t="s">
        <v>280</v>
      </c>
      <c r="E18" s="233" t="s">
        <v>281</v>
      </c>
    </row>
    <row r="19" spans="1:11" x14ac:dyDescent="0.25">
      <c r="A19" s="20"/>
      <c r="B19" s="26"/>
      <c r="C19" s="96" t="s">
        <v>156</v>
      </c>
      <c r="D19" s="129" t="s">
        <v>156</v>
      </c>
      <c r="E19" s="291" t="s">
        <v>156</v>
      </c>
    </row>
    <row r="20" spans="1:11" ht="38.25" x14ac:dyDescent="0.25">
      <c r="A20" s="20"/>
      <c r="B20" s="26"/>
      <c r="C20" s="97" t="s">
        <v>158</v>
      </c>
      <c r="D20" s="130" t="s">
        <v>158</v>
      </c>
      <c r="E20" s="292" t="s">
        <v>158</v>
      </c>
    </row>
    <row r="21" spans="1:11" ht="15.75" x14ac:dyDescent="0.25">
      <c r="A21" s="4"/>
      <c r="B21" s="3"/>
    </row>
    <row r="22" spans="1:11" ht="15.75" x14ac:dyDescent="0.25">
      <c r="A22" s="4"/>
      <c r="B22" s="3"/>
    </row>
    <row r="23" spans="1:11" ht="15.6" customHeight="1" x14ac:dyDescent="0.25">
      <c r="A23" s="538" t="s">
        <v>222</v>
      </c>
      <c r="B23" s="536" t="s">
        <v>223</v>
      </c>
      <c r="C23" s="529">
        <v>2018</v>
      </c>
      <c r="D23" s="529"/>
      <c r="E23" s="529"/>
      <c r="F23" s="540">
        <v>2019</v>
      </c>
      <c r="G23" s="540"/>
      <c r="H23" s="540"/>
      <c r="I23" s="531">
        <v>2020</v>
      </c>
      <c r="J23" s="531"/>
      <c r="K23" s="531"/>
    </row>
    <row r="24" spans="1:11" x14ac:dyDescent="0.25">
      <c r="A24" s="539"/>
      <c r="B24" s="537"/>
      <c r="C24" s="27" t="s">
        <v>8</v>
      </c>
      <c r="D24" s="27" t="s">
        <v>23</v>
      </c>
      <c r="E24" s="48" t="s">
        <v>24</v>
      </c>
      <c r="F24" s="27" t="s">
        <v>36</v>
      </c>
      <c r="G24" s="27" t="s">
        <v>23</v>
      </c>
      <c r="H24" s="27" t="s">
        <v>24</v>
      </c>
      <c r="I24" s="27" t="s">
        <v>36</v>
      </c>
      <c r="J24" s="27" t="s">
        <v>23</v>
      </c>
      <c r="K24" s="27" t="s">
        <v>24</v>
      </c>
    </row>
    <row r="25" spans="1:11" ht="49.5" customHeight="1" x14ac:dyDescent="0.25">
      <c r="A25" s="530" t="s">
        <v>344</v>
      </c>
      <c r="B25" s="530"/>
      <c r="C25" s="523">
        <f>SUM(C26:C28)</f>
        <v>170125000</v>
      </c>
      <c r="D25" s="523">
        <f>D26*C26+D27*C27+D28*C28</f>
        <v>16942500</v>
      </c>
      <c r="E25" s="523">
        <f>C25-D25</f>
        <v>153182500</v>
      </c>
      <c r="F25" s="523">
        <f>SUM(F26:F28)</f>
        <v>162575000</v>
      </c>
      <c r="G25" s="523">
        <f>G26*F26+G27*F27+G28*F28</f>
        <v>16942500</v>
      </c>
      <c r="H25" s="523">
        <f>F25-G25</f>
        <v>145632500</v>
      </c>
      <c r="I25" s="523">
        <f>SUM(I26:I28)</f>
        <v>151475000</v>
      </c>
      <c r="J25" s="523">
        <f>J26*I26+J27*I27+J28*I28</f>
        <v>16942500</v>
      </c>
      <c r="K25" s="523">
        <f>I25-J25</f>
        <v>134532500</v>
      </c>
    </row>
    <row r="26" spans="1:11" ht="28.5" customHeight="1" x14ac:dyDescent="0.25">
      <c r="A26" s="528" t="s">
        <v>339</v>
      </c>
      <c r="B26" s="528"/>
      <c r="C26" s="125">
        <f>'Outcome 1'!C14</f>
        <v>63250000</v>
      </c>
      <c r="D26" s="126">
        <v>0</v>
      </c>
      <c r="E26" s="126">
        <v>1</v>
      </c>
      <c r="F26" s="127">
        <f>'Outcome 1'!D14</f>
        <v>63500000</v>
      </c>
      <c r="G26" s="128">
        <v>0</v>
      </c>
      <c r="H26" s="128">
        <v>1</v>
      </c>
      <c r="I26" s="225">
        <f>'Outcome 1'!E14</f>
        <v>68000000</v>
      </c>
      <c r="J26" s="226">
        <v>0</v>
      </c>
      <c r="K26" s="226">
        <v>1</v>
      </c>
    </row>
    <row r="27" spans="1:11" ht="29.25" customHeight="1" x14ac:dyDescent="0.25">
      <c r="A27" s="528" t="s">
        <v>157</v>
      </c>
      <c r="B27" s="528"/>
      <c r="C27" s="125">
        <f>'Outcome 1'!C35</f>
        <v>50400000</v>
      </c>
      <c r="D27" s="126">
        <v>0</v>
      </c>
      <c r="E27" s="126">
        <v>1</v>
      </c>
      <c r="F27" s="127">
        <f>'Outcome 1'!D35</f>
        <v>42600000</v>
      </c>
      <c r="G27" s="128">
        <v>0</v>
      </c>
      <c r="H27" s="128">
        <v>1</v>
      </c>
      <c r="I27" s="225">
        <f>'Outcome 1'!E35</f>
        <v>27000000</v>
      </c>
      <c r="J27" s="226">
        <v>0</v>
      </c>
      <c r="K27" s="226">
        <v>1</v>
      </c>
    </row>
    <row r="28" spans="1:11" ht="39" customHeight="1" x14ac:dyDescent="0.25">
      <c r="A28" s="528" t="s">
        <v>340</v>
      </c>
      <c r="B28" s="528"/>
      <c r="C28" s="125">
        <f>'Outcome 1'!C52</f>
        <v>56475000</v>
      </c>
      <c r="D28" s="126">
        <v>0.3</v>
      </c>
      <c r="E28" s="126">
        <v>0.7</v>
      </c>
      <c r="F28" s="127">
        <f>'Outcome 1'!D52</f>
        <v>56475000</v>
      </c>
      <c r="G28" s="128">
        <v>0.3</v>
      </c>
      <c r="H28" s="128">
        <v>0.7</v>
      </c>
      <c r="I28" s="225">
        <f>'Outcome 1'!E52</f>
        <v>56475000</v>
      </c>
      <c r="J28" s="226">
        <v>0.3</v>
      </c>
      <c r="K28" s="226">
        <v>0.7</v>
      </c>
    </row>
    <row r="29" spans="1:11" ht="36" customHeight="1" x14ac:dyDescent="0.25">
      <c r="A29" s="530" t="s">
        <v>345</v>
      </c>
      <c r="B29" s="530"/>
      <c r="C29" s="524">
        <f>C30+C31</f>
        <v>26250000</v>
      </c>
      <c r="D29" s="524">
        <f>D30*C30+D31*C31</f>
        <v>6562500</v>
      </c>
      <c r="E29" s="524">
        <f>C29-D29</f>
        <v>19687500</v>
      </c>
      <c r="F29" s="524">
        <f>F30+F31</f>
        <v>26250000</v>
      </c>
      <c r="G29" s="524">
        <f>G30*F30+G31*F31</f>
        <v>5250000</v>
      </c>
      <c r="H29" s="524">
        <f>F29-G29</f>
        <v>21000000</v>
      </c>
      <c r="I29" s="524">
        <f>I30+I31</f>
        <v>26250000</v>
      </c>
      <c r="J29" s="524">
        <f>J30*I30+J31*I31</f>
        <v>5250000</v>
      </c>
      <c r="K29" s="524">
        <f>I29-J29</f>
        <v>21000000</v>
      </c>
    </row>
    <row r="30" spans="1:11" ht="36.75" customHeight="1" x14ac:dyDescent="0.25">
      <c r="A30" s="528" t="s">
        <v>341</v>
      </c>
      <c r="B30" s="528"/>
      <c r="C30" s="125">
        <f>'Outcome 2'!C11</f>
        <v>17500000</v>
      </c>
      <c r="D30" s="126">
        <v>0.25</v>
      </c>
      <c r="E30" s="126">
        <v>0.75</v>
      </c>
      <c r="F30" s="127">
        <f>'Outcome 2'!D11</f>
        <v>17500000</v>
      </c>
      <c r="G30" s="128">
        <v>0.2</v>
      </c>
      <c r="H30" s="128">
        <v>0.8</v>
      </c>
      <c r="I30" s="225">
        <f>'Outcome 2'!E11</f>
        <v>17500000</v>
      </c>
      <c r="J30" s="226">
        <v>0.2</v>
      </c>
      <c r="K30" s="226">
        <v>0.8</v>
      </c>
    </row>
    <row r="31" spans="1:11" ht="27" customHeight="1" x14ac:dyDescent="0.25">
      <c r="A31" s="528" t="s">
        <v>271</v>
      </c>
      <c r="B31" s="528"/>
      <c r="C31" s="125">
        <f>'Outcome 2'!C28</f>
        <v>8750000</v>
      </c>
      <c r="D31" s="126">
        <v>0.25</v>
      </c>
      <c r="E31" s="126">
        <v>0.75</v>
      </c>
      <c r="F31" s="127">
        <f>'Outcome 2'!D28</f>
        <v>8750000</v>
      </c>
      <c r="G31" s="128">
        <v>0.2</v>
      </c>
      <c r="H31" s="128">
        <v>0.8</v>
      </c>
      <c r="I31" s="225">
        <f>'Outcome 2'!D28</f>
        <v>8750000</v>
      </c>
      <c r="J31" s="226">
        <v>0.2</v>
      </c>
      <c r="K31" s="226">
        <v>0.8</v>
      </c>
    </row>
    <row r="32" spans="1:11" ht="36" customHeight="1" x14ac:dyDescent="0.25">
      <c r="A32" s="530" t="s">
        <v>346</v>
      </c>
      <c r="B32" s="530"/>
      <c r="C32" s="524">
        <f>C33+C34</f>
        <v>11500000</v>
      </c>
      <c r="D32" s="524">
        <f>D33*C33+D34*C34</f>
        <v>0</v>
      </c>
      <c r="E32" s="524">
        <f>C32-D32</f>
        <v>11500000</v>
      </c>
      <c r="F32" s="524">
        <f>F33+F34</f>
        <v>11500000</v>
      </c>
      <c r="G32" s="524">
        <f>G33*F33+G34*F34</f>
        <v>0</v>
      </c>
      <c r="H32" s="524">
        <f>F32-G32</f>
        <v>11500000</v>
      </c>
      <c r="I32" s="524">
        <f>I33+I34</f>
        <v>11500000</v>
      </c>
      <c r="J32" s="524">
        <f>J33*I33+J34*I34</f>
        <v>0</v>
      </c>
      <c r="K32" s="524">
        <f>I32-J32</f>
        <v>11500000</v>
      </c>
    </row>
    <row r="33" spans="1:11" ht="33" customHeight="1" x14ac:dyDescent="0.25">
      <c r="A33" s="528" t="s">
        <v>337</v>
      </c>
      <c r="B33" s="528"/>
      <c r="C33" s="125">
        <f>'Outcome 3'!C11</f>
        <v>2500000</v>
      </c>
      <c r="D33" s="126">
        <v>0</v>
      </c>
      <c r="E33" s="126">
        <v>1</v>
      </c>
      <c r="F33" s="127">
        <f>'Outcome 3'!D11</f>
        <v>2500000</v>
      </c>
      <c r="G33" s="128">
        <v>0</v>
      </c>
      <c r="H33" s="128">
        <v>1</v>
      </c>
      <c r="I33" s="225">
        <f>'Outcome 3'!E11</f>
        <v>2500000</v>
      </c>
      <c r="J33" s="226">
        <v>0</v>
      </c>
      <c r="K33" s="226">
        <v>1</v>
      </c>
    </row>
    <row r="34" spans="1:11" ht="40.5" customHeight="1" x14ac:dyDescent="0.25">
      <c r="A34" s="528" t="s">
        <v>338</v>
      </c>
      <c r="B34" s="528"/>
      <c r="C34" s="125">
        <f>'Outcome 3'!C31</f>
        <v>9000000</v>
      </c>
      <c r="D34" s="126">
        <v>0</v>
      </c>
      <c r="E34" s="126">
        <v>1</v>
      </c>
      <c r="F34" s="127">
        <f>'Outcome 3'!D31</f>
        <v>9000000</v>
      </c>
      <c r="G34" s="128">
        <v>0</v>
      </c>
      <c r="H34" s="128">
        <v>1</v>
      </c>
      <c r="I34" s="225">
        <f>'Outcome 3'!E31</f>
        <v>9000000</v>
      </c>
      <c r="J34" s="226">
        <v>0</v>
      </c>
      <c r="K34" s="226">
        <v>1</v>
      </c>
    </row>
    <row r="35" spans="1:11" x14ac:dyDescent="0.25">
      <c r="A35" s="110"/>
      <c r="B35" s="111"/>
    </row>
    <row r="36" spans="1:11" x14ac:dyDescent="0.25">
      <c r="A36" s="110"/>
      <c r="B36" s="111"/>
    </row>
    <row r="37" spans="1:11" x14ac:dyDescent="0.25">
      <c r="A37" s="110"/>
      <c r="B37" s="111"/>
    </row>
    <row r="38" spans="1:11" x14ac:dyDescent="0.25">
      <c r="A38" s="110"/>
      <c r="B38" s="111"/>
    </row>
  </sheetData>
  <mergeCells count="17">
    <mergeCell ref="I23:K23"/>
    <mergeCell ref="A7:B7"/>
    <mergeCell ref="A12:B12"/>
    <mergeCell ref="B23:B24"/>
    <mergeCell ref="A23:A24"/>
    <mergeCell ref="F23:H23"/>
    <mergeCell ref="A30:B30"/>
    <mergeCell ref="A33:B33"/>
    <mergeCell ref="A34:B34"/>
    <mergeCell ref="C23:E23"/>
    <mergeCell ref="A26:B26"/>
    <mergeCell ref="A28:B28"/>
    <mergeCell ref="A27:B27"/>
    <mergeCell ref="A29:B29"/>
    <mergeCell ref="A31:B31"/>
    <mergeCell ref="A32:B32"/>
    <mergeCell ref="A25:B25"/>
  </mergeCells>
  <pageMargins left="0.7" right="0.7" top="0.75" bottom="0.75" header="0.3" footer="0.3"/>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B105"/>
  <sheetViews>
    <sheetView showGridLines="0" topLeftCell="I1" zoomScale="50" zoomScaleNormal="50" zoomScalePageLayoutView="60" workbookViewId="0">
      <selection activeCell="A49" sqref="A49:Y67"/>
    </sheetView>
  </sheetViews>
  <sheetFormatPr defaultColWidth="9.140625" defaultRowHeight="15" outlineLevelRow="1" x14ac:dyDescent="0.25"/>
  <cols>
    <col min="1" max="1" width="16.140625" style="428" customWidth="1"/>
    <col min="2" max="2" width="45.7109375" style="47" customWidth="1"/>
    <col min="3" max="3" width="62.5703125" style="47" customWidth="1"/>
    <col min="4" max="4" width="36.28515625" style="47" customWidth="1"/>
    <col min="5" max="5" width="28.28515625" style="47" customWidth="1"/>
    <col min="6" max="6" width="14" style="47" customWidth="1"/>
    <col min="7" max="7" width="14.42578125" style="47" customWidth="1"/>
    <col min="8" max="8" width="12.7109375" style="47" customWidth="1"/>
    <col min="9" max="9" width="10.28515625" style="47" customWidth="1"/>
    <col min="10" max="10" width="24.28515625" style="47" customWidth="1"/>
    <col min="11" max="11" width="10.28515625" style="47" customWidth="1"/>
    <col min="12" max="12" width="14.85546875" style="47" customWidth="1"/>
    <col min="13" max="15" width="19.5703125" style="47" bestFit="1" customWidth="1"/>
    <col min="16" max="16" width="15.5703125" style="47" customWidth="1"/>
    <col min="17" max="19" width="19.5703125" style="47" customWidth="1"/>
    <col min="20" max="20" width="18.85546875" style="47" customWidth="1"/>
    <col min="21" max="21" width="22.85546875" style="47" customWidth="1"/>
    <col min="22" max="23" width="13.85546875" style="47" customWidth="1"/>
    <col min="24" max="24" width="13.42578125" style="47" customWidth="1"/>
    <col min="25" max="25" width="14.5703125" style="47" customWidth="1"/>
    <col min="26" max="26" width="14.28515625" style="47" customWidth="1"/>
    <col min="27" max="27" width="13.5703125" style="47" customWidth="1"/>
    <col min="28" max="28" width="12.7109375" style="47" customWidth="1"/>
    <col min="29" max="29" width="10.28515625" style="47" customWidth="1"/>
    <col min="30" max="30" width="12.7109375" style="47" customWidth="1"/>
    <col min="31" max="31" width="16.140625" style="47" customWidth="1"/>
    <col min="32" max="32" width="16.42578125" style="47" customWidth="1"/>
    <col min="33" max="34" width="10.28515625" style="47" customWidth="1"/>
    <col min="35" max="35" width="12.140625" style="47" customWidth="1"/>
    <col min="36" max="36" width="18.5703125" style="47" customWidth="1"/>
    <col min="37" max="37" width="17.5703125" style="47" customWidth="1"/>
    <col min="38" max="38" width="10.28515625" style="47" customWidth="1"/>
    <col min="39" max="39" width="8" style="47" customWidth="1"/>
    <col min="40" max="40" width="10.42578125" style="47" customWidth="1"/>
    <col min="41" max="42" width="15.140625" style="47" customWidth="1"/>
    <col min="43" max="43" width="19.140625" style="47" customWidth="1"/>
    <col min="44" max="46" width="15.140625" style="47" customWidth="1"/>
    <col min="47" max="47" width="15.5703125" style="47" customWidth="1"/>
    <col min="48" max="48" width="13.28515625" style="47" customWidth="1"/>
    <col min="49" max="49" width="8" style="47" customWidth="1"/>
    <col min="50" max="50" width="15.85546875" style="47" customWidth="1"/>
    <col min="51" max="51" width="18.140625" style="47" customWidth="1"/>
    <col min="52" max="54" width="13.42578125" style="47" customWidth="1"/>
    <col min="55" max="55" width="19.5703125" style="47" customWidth="1"/>
    <col min="56" max="56" width="16.7109375" style="47" customWidth="1"/>
    <col min="57" max="59" width="13.42578125" style="47" customWidth="1"/>
    <col min="60" max="60" width="15.28515625" style="47" customWidth="1"/>
    <col min="61" max="61" width="16.28515625" style="47" bestFit="1" customWidth="1"/>
    <col min="62" max="62" width="18" style="47" customWidth="1"/>
    <col min="63" max="64" width="9.140625" style="47"/>
    <col min="65" max="65" width="18.42578125" style="47" customWidth="1"/>
    <col min="66" max="66" width="16.28515625" style="47" bestFit="1" customWidth="1"/>
    <col min="67" max="67" width="18.42578125" style="47" customWidth="1"/>
    <col min="68" max="68" width="9.140625" style="47"/>
    <col min="69" max="69" width="13.42578125" style="47" customWidth="1"/>
    <col min="70" max="70" width="18.140625" style="47" customWidth="1"/>
    <col min="71" max="74" width="9.140625" style="47"/>
    <col min="75" max="75" width="15" style="47" customWidth="1"/>
    <col min="76" max="79" width="9.140625" style="47"/>
    <col min="80" max="80" width="15" style="47" customWidth="1"/>
    <col min="81" max="81" width="9.140625" style="429"/>
  </cols>
  <sheetData>
    <row r="1" spans="1:92" ht="60" customHeight="1" x14ac:dyDescent="0.25">
      <c r="A1" s="541" t="s">
        <v>331</v>
      </c>
      <c r="B1" s="542"/>
      <c r="C1" s="542"/>
      <c r="D1" s="542"/>
      <c r="E1" s="542"/>
      <c r="F1" s="542"/>
      <c r="G1" s="542"/>
      <c r="H1" s="542"/>
      <c r="I1" s="542"/>
      <c r="J1" s="542"/>
      <c r="K1" s="542"/>
      <c r="L1" s="542"/>
      <c r="M1" s="542"/>
      <c r="N1" s="542"/>
      <c r="O1" s="542"/>
      <c r="P1" s="426"/>
      <c r="Q1" s="426"/>
      <c r="R1" s="426"/>
      <c r="S1" s="426"/>
      <c r="T1" s="427"/>
      <c r="U1" s="427"/>
      <c r="V1" s="427"/>
      <c r="W1" s="427"/>
      <c r="X1" s="427"/>
      <c r="Y1" s="427"/>
      <c r="Z1" s="427"/>
      <c r="AA1" s="427"/>
      <c r="AB1" s="427"/>
      <c r="AC1" s="427"/>
      <c r="AD1" s="427"/>
      <c r="AE1" s="427"/>
      <c r="AF1" s="427"/>
      <c r="AG1" s="427"/>
      <c r="AH1" s="427"/>
      <c r="AI1" s="427"/>
      <c r="AJ1" s="427"/>
      <c r="AK1" s="448"/>
      <c r="AL1" s="427"/>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CC1" s="47"/>
    </row>
    <row r="2" spans="1:92" ht="18.75" customHeight="1" x14ac:dyDescent="0.35">
      <c r="B2" s="55"/>
      <c r="C2" s="55"/>
      <c r="D2" s="55"/>
      <c r="E2" s="55"/>
      <c r="F2" s="55"/>
      <c r="G2" s="55"/>
      <c r="H2" s="55"/>
      <c r="I2" s="55"/>
      <c r="J2" s="55"/>
      <c r="K2" s="55"/>
      <c r="L2" s="55"/>
      <c r="M2" s="55"/>
      <c r="N2" s="55"/>
      <c r="O2" s="55"/>
      <c r="P2" s="55"/>
      <c r="Q2" s="55"/>
      <c r="R2" s="55"/>
      <c r="S2" s="55"/>
      <c r="T2" s="55"/>
      <c r="U2" s="55"/>
      <c r="V2" s="55"/>
      <c r="W2" s="55"/>
      <c r="X2" s="55"/>
      <c r="Y2" s="55"/>
      <c r="Z2" s="55"/>
      <c r="AA2" s="55"/>
      <c r="AB2" s="55"/>
      <c r="AK2" s="429"/>
      <c r="AQ2" s="6"/>
      <c r="AR2" s="6"/>
      <c r="AS2" s="6"/>
      <c r="AT2" s="6"/>
      <c r="AX2" s="61" t="s">
        <v>193</v>
      </c>
      <c r="AY2" s="347"/>
      <c r="AZ2" s="347"/>
      <c r="BA2" s="347"/>
      <c r="BB2" s="347"/>
      <c r="BC2" s="347"/>
      <c r="BD2" s="347"/>
      <c r="BE2" s="6"/>
      <c r="CC2" s="47"/>
    </row>
    <row r="3" spans="1:92" ht="25.35" customHeight="1" x14ac:dyDescent="0.35">
      <c r="A3" s="549" t="s">
        <v>1</v>
      </c>
      <c r="B3" s="550"/>
      <c r="C3" s="550"/>
      <c r="D3" s="550"/>
      <c r="E3" s="550"/>
      <c r="F3" s="550"/>
      <c r="G3" s="550"/>
      <c r="H3" s="563" t="s">
        <v>232</v>
      </c>
      <c r="I3" s="563"/>
      <c r="J3" s="563"/>
      <c r="K3" s="563"/>
      <c r="L3" s="543" t="s">
        <v>3</v>
      </c>
      <c r="M3" s="543"/>
      <c r="N3" s="543"/>
      <c r="O3" s="543"/>
      <c r="P3" s="562" t="s">
        <v>28</v>
      </c>
      <c r="Q3" s="562"/>
      <c r="R3" s="562"/>
      <c r="S3" s="562"/>
      <c r="T3" s="543" t="s">
        <v>27</v>
      </c>
      <c r="U3" s="543"/>
      <c r="V3" s="543"/>
      <c r="W3" s="543"/>
      <c r="X3" s="562" t="s">
        <v>4</v>
      </c>
      <c r="Y3" s="562"/>
      <c r="Z3" s="562"/>
      <c r="AA3" s="562"/>
      <c r="AB3" s="55"/>
      <c r="AK3" s="429"/>
      <c r="AO3" s="586" t="s">
        <v>10</v>
      </c>
      <c r="AP3" s="586"/>
      <c r="AQ3" s="586"/>
      <c r="AR3" s="586"/>
      <c r="AS3" s="586"/>
      <c r="AT3" s="586" t="s">
        <v>15</v>
      </c>
      <c r="AU3" s="586"/>
      <c r="AV3" s="586"/>
      <c r="AW3" s="586"/>
      <c r="AX3" s="586"/>
      <c r="AY3" s="586" t="s">
        <v>22</v>
      </c>
      <c r="AZ3" s="586"/>
      <c r="BA3" s="586"/>
      <c r="BB3" s="586"/>
      <c r="BC3" s="586"/>
      <c r="BD3" s="586" t="s">
        <v>12</v>
      </c>
      <c r="BE3" s="586"/>
      <c r="BF3" s="586"/>
      <c r="BG3" s="586"/>
      <c r="BH3" s="586"/>
      <c r="BI3" s="586" t="s">
        <v>13</v>
      </c>
      <c r="BJ3" s="586"/>
      <c r="BK3" s="586"/>
      <c r="BL3" s="586"/>
      <c r="BM3" s="586"/>
      <c r="BN3" s="586" t="s">
        <v>11</v>
      </c>
      <c r="BO3" s="586"/>
      <c r="BP3" s="586"/>
      <c r="BQ3" s="586"/>
      <c r="BR3" s="586"/>
      <c r="BS3" s="586" t="s">
        <v>16</v>
      </c>
      <c r="BT3" s="586"/>
      <c r="BU3" s="586"/>
      <c r="BV3" s="586"/>
      <c r="BW3" s="586"/>
      <c r="BX3" s="586" t="s">
        <v>14</v>
      </c>
      <c r="BY3" s="586"/>
      <c r="BZ3" s="586"/>
      <c r="CA3" s="586"/>
      <c r="CB3" s="586"/>
      <c r="CC3" s="47"/>
    </row>
    <row r="4" spans="1:92" ht="33" customHeight="1" thickBot="1" x14ac:dyDescent="0.4">
      <c r="A4" s="430" t="s">
        <v>5</v>
      </c>
      <c r="B4" s="34" t="s">
        <v>6</v>
      </c>
      <c r="C4" s="34" t="s">
        <v>2</v>
      </c>
      <c r="D4" s="547" t="s">
        <v>32</v>
      </c>
      <c r="E4" s="547"/>
      <c r="F4" s="350" t="s">
        <v>9</v>
      </c>
      <c r="G4" s="350" t="s">
        <v>0</v>
      </c>
      <c r="H4" s="206" t="s">
        <v>348</v>
      </c>
      <c r="I4" s="30" t="s">
        <v>33</v>
      </c>
      <c r="J4" s="43" t="s">
        <v>194</v>
      </c>
      <c r="K4" s="182" t="s">
        <v>43</v>
      </c>
      <c r="L4" s="206" t="s">
        <v>348</v>
      </c>
      <c r="M4" s="30" t="s">
        <v>33</v>
      </c>
      <c r="N4" s="43" t="s">
        <v>194</v>
      </c>
      <c r="O4" s="182" t="s">
        <v>43</v>
      </c>
      <c r="P4" s="206" t="s">
        <v>348</v>
      </c>
      <c r="Q4" s="30" t="s">
        <v>33</v>
      </c>
      <c r="R4" s="43" t="s">
        <v>194</v>
      </c>
      <c r="S4" s="182" t="s">
        <v>43</v>
      </c>
      <c r="T4" s="206" t="s">
        <v>348</v>
      </c>
      <c r="U4" s="30" t="s">
        <v>33</v>
      </c>
      <c r="V4" s="43" t="s">
        <v>194</v>
      </c>
      <c r="W4" s="182" t="s">
        <v>43</v>
      </c>
      <c r="X4" s="206" t="s">
        <v>348</v>
      </c>
      <c r="Y4" s="30" t="s">
        <v>33</v>
      </c>
      <c r="Z4" s="43" t="s">
        <v>194</v>
      </c>
      <c r="AA4" s="182" t="s">
        <v>43</v>
      </c>
      <c r="AB4" s="55"/>
      <c r="AK4" s="429"/>
      <c r="AO4" s="454" t="s">
        <v>20</v>
      </c>
      <c r="AP4" s="454" t="s">
        <v>28</v>
      </c>
      <c r="AQ4" s="454" t="s">
        <v>27</v>
      </c>
      <c r="AR4" s="454" t="s">
        <v>21</v>
      </c>
      <c r="AS4" s="455" t="s">
        <v>92</v>
      </c>
      <c r="AT4" s="454" t="s">
        <v>20</v>
      </c>
      <c r="AU4" s="454" t="s">
        <v>28</v>
      </c>
      <c r="AV4" s="454" t="s">
        <v>27</v>
      </c>
      <c r="AW4" s="454" t="s">
        <v>21</v>
      </c>
      <c r="AX4" s="455" t="s">
        <v>92</v>
      </c>
      <c r="AY4" s="454" t="s">
        <v>20</v>
      </c>
      <c r="AZ4" s="454" t="s">
        <v>28</v>
      </c>
      <c r="BA4" s="454" t="s">
        <v>27</v>
      </c>
      <c r="BB4" s="454" t="s">
        <v>21</v>
      </c>
      <c r="BC4" s="455" t="s">
        <v>92</v>
      </c>
      <c r="BD4" s="454" t="s">
        <v>20</v>
      </c>
      <c r="BE4" s="454" t="s">
        <v>28</v>
      </c>
      <c r="BF4" s="454" t="s">
        <v>27</v>
      </c>
      <c r="BG4" s="454" t="s">
        <v>21</v>
      </c>
      <c r="BH4" s="455" t="s">
        <v>92</v>
      </c>
      <c r="BI4" s="454" t="s">
        <v>20</v>
      </c>
      <c r="BJ4" s="454" t="s">
        <v>28</v>
      </c>
      <c r="BK4" s="454" t="s">
        <v>27</v>
      </c>
      <c r="BL4" s="454" t="s">
        <v>21</v>
      </c>
      <c r="BM4" s="455" t="s">
        <v>92</v>
      </c>
      <c r="BN4" s="454" t="s">
        <v>20</v>
      </c>
      <c r="BO4" s="454" t="s">
        <v>28</v>
      </c>
      <c r="BP4" s="454" t="s">
        <v>27</v>
      </c>
      <c r="BQ4" s="454" t="s">
        <v>21</v>
      </c>
      <c r="BR4" s="455" t="s">
        <v>92</v>
      </c>
      <c r="BS4" s="454" t="s">
        <v>20</v>
      </c>
      <c r="BT4" s="454" t="s">
        <v>28</v>
      </c>
      <c r="BU4" s="454" t="s">
        <v>27</v>
      </c>
      <c r="BV4" s="454" t="s">
        <v>21</v>
      </c>
      <c r="BW4" s="455" t="s">
        <v>92</v>
      </c>
      <c r="BX4" s="454" t="s">
        <v>20</v>
      </c>
      <c r="BY4" s="454" t="s">
        <v>28</v>
      </c>
      <c r="BZ4" s="454" t="s">
        <v>27</v>
      </c>
      <c r="CA4" s="454" t="s">
        <v>21</v>
      </c>
      <c r="CB4" s="455" t="s">
        <v>92</v>
      </c>
      <c r="CC4" s="47"/>
    </row>
    <row r="5" spans="1:92" s="1" customFormat="1" ht="147.6" customHeight="1" x14ac:dyDescent="0.35">
      <c r="A5" s="431" t="s">
        <v>17</v>
      </c>
      <c r="B5" s="8" t="s">
        <v>163</v>
      </c>
      <c r="C5" s="8" t="s">
        <v>226</v>
      </c>
      <c r="D5" s="548" t="s">
        <v>212</v>
      </c>
      <c r="E5" s="548"/>
      <c r="F5" s="8" t="s">
        <v>51</v>
      </c>
      <c r="G5" s="8" t="s">
        <v>52</v>
      </c>
      <c r="H5" s="255">
        <v>494</v>
      </c>
      <c r="I5" s="35">
        <f>M5+Q5+U5+Y5</f>
        <v>4935</v>
      </c>
      <c r="J5" s="38">
        <f>N5+R5+V5+Z5</f>
        <v>4920</v>
      </c>
      <c r="K5" s="174">
        <f>O5+S5+W5+AA5</f>
        <v>5130</v>
      </c>
      <c r="L5" s="345" t="s">
        <v>57</v>
      </c>
      <c r="M5" s="203">
        <f>'Lh Budgetting'!T10</f>
        <v>807.75</v>
      </c>
      <c r="N5" s="160">
        <f>'Lh Budgetting'!AB10</f>
        <v>820.77777777777783</v>
      </c>
      <c r="O5" s="205">
        <f>'Lh Budgetting'!AH10</f>
        <v>902.55555555555554</v>
      </c>
      <c r="P5" s="345" t="s">
        <v>57</v>
      </c>
      <c r="Q5" s="221">
        <f>'Lh Budgetting'!V10</f>
        <v>40.625</v>
      </c>
      <c r="R5" s="160">
        <f>'Lh Budgetting'!AD10</f>
        <v>42.277777777777779</v>
      </c>
      <c r="S5" s="205">
        <f>'Lh Budgetting'!AJ10</f>
        <v>48.055555555555557</v>
      </c>
      <c r="T5" s="345" t="s">
        <v>57</v>
      </c>
      <c r="U5" s="221">
        <f>'Lh Budgetting'!U10</f>
        <v>101.125</v>
      </c>
      <c r="V5" s="160">
        <f>'Lh Budgetting'!AC10</f>
        <v>104.27777777777779</v>
      </c>
      <c r="W5" s="205">
        <f>'Lh Budgetting'!AI10</f>
        <v>117.05555555555557</v>
      </c>
      <c r="X5" s="345" t="s">
        <v>57</v>
      </c>
      <c r="Y5" s="221">
        <f>'Lh Budgetting'!S10</f>
        <v>3985.5</v>
      </c>
      <c r="Z5" s="160">
        <f>'Lh Budgetting'!AA10</f>
        <v>3952.6666666666665</v>
      </c>
      <c r="AA5" s="205">
        <f>'Lh Budgetting'!AG10</f>
        <v>4062.3333333333335</v>
      </c>
      <c r="AB5" s="55"/>
      <c r="AC5" s="6"/>
      <c r="AD5" s="6"/>
      <c r="AE5" s="6"/>
      <c r="AF5" s="6"/>
      <c r="AG5" s="6"/>
      <c r="AH5" s="6"/>
      <c r="AI5" s="6"/>
      <c r="AJ5" s="6"/>
      <c r="AK5" s="432"/>
      <c r="AL5" s="6"/>
      <c r="AM5" s="6"/>
      <c r="AN5" s="6"/>
      <c r="AO5" s="456">
        <f>P20*CK13</f>
        <v>96.929999999999993</v>
      </c>
      <c r="AP5" s="456">
        <f>Q20*CK13</f>
        <v>4.875</v>
      </c>
      <c r="AQ5" s="456">
        <f>R20*CK13</f>
        <v>12.135</v>
      </c>
      <c r="AR5" s="456">
        <f>S20*CK13</f>
        <v>478.26</v>
      </c>
      <c r="AS5" s="457">
        <f>4935*0.063689</f>
        <v>314.30521499999998</v>
      </c>
      <c r="AT5" s="458">
        <f>P20*CK14</f>
        <v>145.39499999999998</v>
      </c>
      <c r="AU5" s="458">
        <f>Q20*CK14</f>
        <v>7.3125</v>
      </c>
      <c r="AV5" s="458">
        <f>CK14*R20</f>
        <v>18.202500000000001</v>
      </c>
      <c r="AW5" s="458">
        <f>CK14*S20</f>
        <v>717.39</v>
      </c>
      <c r="AX5" s="457">
        <f>4935*0.29445</f>
        <v>1453.1107500000001</v>
      </c>
      <c r="AY5" s="458">
        <f>CK16*P20</f>
        <v>201.9375</v>
      </c>
      <c r="AZ5" s="458">
        <f>CK16*Q20</f>
        <v>10.15625</v>
      </c>
      <c r="BA5" s="458">
        <f>CK16*R20</f>
        <v>25.28125</v>
      </c>
      <c r="BB5" s="458">
        <f>CK16*S20</f>
        <v>996.375</v>
      </c>
      <c r="BC5" s="457">
        <f>4935*0.081885</f>
        <v>404.10247499999997</v>
      </c>
      <c r="BD5" s="458">
        <f>CK15*P20</f>
        <v>24.232499999999998</v>
      </c>
      <c r="BE5" s="458">
        <f>CK15*Q20</f>
        <v>1.21875</v>
      </c>
      <c r="BF5" s="458">
        <f>R20*CK15</f>
        <v>3.0337499999999999</v>
      </c>
      <c r="BG5" s="458">
        <f>CK15*S20</f>
        <v>119.565</v>
      </c>
      <c r="BH5" s="457">
        <f>4935*0.0008271</f>
        <v>4.0817385000000002</v>
      </c>
      <c r="BI5" s="458">
        <f>CK17*P20</f>
        <v>105.00750000000001</v>
      </c>
      <c r="BJ5" s="458">
        <f>CK17*Q20</f>
        <v>5.28125</v>
      </c>
      <c r="BK5" s="458">
        <f>CK17*R20</f>
        <v>13.14625</v>
      </c>
      <c r="BL5" s="458">
        <f>CK17*S20</f>
        <v>518.11500000000001</v>
      </c>
      <c r="BM5" s="457">
        <f>4935*0.45244</f>
        <v>2232.7914000000001</v>
      </c>
      <c r="BN5" s="458">
        <f>CK18*P20</f>
        <v>88.852500000000006</v>
      </c>
      <c r="BO5" s="458">
        <f>CK18*Q20</f>
        <v>4.46875</v>
      </c>
      <c r="BP5" s="458">
        <f>CK18*R20</f>
        <v>11.123749999999999</v>
      </c>
      <c r="BQ5" s="458">
        <f>CK18*S20</f>
        <v>438.40500000000003</v>
      </c>
      <c r="BR5" s="457">
        <f>4935*0.032258</f>
        <v>159.19323</v>
      </c>
      <c r="BS5" s="458">
        <f>CK19*P20</f>
        <v>80.775000000000006</v>
      </c>
      <c r="BT5" s="458">
        <f>CK19*Q20</f>
        <v>4.0625</v>
      </c>
      <c r="BU5" s="458">
        <f>CK19*R20</f>
        <v>10.112500000000001</v>
      </c>
      <c r="BV5" s="458">
        <f>CK19*S20</f>
        <v>398.55</v>
      </c>
      <c r="BW5" s="457">
        <f>4935*0.041356</f>
        <v>204.09186</v>
      </c>
      <c r="BX5" s="458">
        <f>CK20*P20</f>
        <v>64.62</v>
      </c>
      <c r="BY5" s="458">
        <f>CK20*Q20</f>
        <v>3.25</v>
      </c>
      <c r="BZ5" s="458">
        <f>CK20*R20</f>
        <v>8.09</v>
      </c>
      <c r="CA5" s="458">
        <f>CK20*S20</f>
        <v>318.84000000000003</v>
      </c>
      <c r="CB5" s="457">
        <f>4935*0.033085</f>
        <v>163.27447500000002</v>
      </c>
      <c r="CC5" s="6"/>
    </row>
    <row r="6" spans="1:92" ht="21" outlineLevel="1" x14ac:dyDescent="0.35">
      <c r="A6" s="555"/>
      <c r="B6" s="556"/>
      <c r="C6" s="556"/>
      <c r="D6" s="556"/>
      <c r="E6" s="556"/>
      <c r="F6" s="556"/>
      <c r="G6" s="556"/>
      <c r="H6" s="551" t="s">
        <v>300</v>
      </c>
      <c r="I6" s="552"/>
      <c r="J6" s="552"/>
      <c r="K6" s="553"/>
      <c r="L6" s="544" t="s">
        <v>191</v>
      </c>
      <c r="M6" s="544"/>
      <c r="N6" s="544"/>
      <c r="O6" s="544"/>
      <c r="P6" s="544"/>
      <c r="Q6" s="544"/>
      <c r="R6" s="544"/>
      <c r="S6" s="544"/>
      <c r="T6" s="546" t="s">
        <v>211</v>
      </c>
      <c r="U6" s="546"/>
      <c r="V6" s="546"/>
      <c r="W6" s="546"/>
      <c r="X6" s="546"/>
      <c r="Y6" s="546"/>
      <c r="Z6" s="546"/>
      <c r="AA6" s="546"/>
      <c r="AB6" s="546"/>
      <c r="AC6" s="573" t="s">
        <v>231</v>
      </c>
      <c r="AD6" s="573"/>
      <c r="AE6" s="573"/>
      <c r="AF6" s="573"/>
      <c r="AG6" s="573"/>
      <c r="AH6" s="573"/>
      <c r="AI6" s="573"/>
      <c r="AJ6" s="573"/>
      <c r="AK6" s="574"/>
      <c r="AO6" s="575" t="s">
        <v>290</v>
      </c>
      <c r="AP6" s="575"/>
      <c r="AQ6" s="575"/>
      <c r="AR6" s="575"/>
      <c r="AS6" s="575"/>
      <c r="AT6" s="575"/>
      <c r="AU6" s="575"/>
      <c r="AV6" s="575"/>
      <c r="AW6" s="6"/>
      <c r="AX6" s="6"/>
      <c r="AY6" s="6"/>
      <c r="AZ6" s="576" t="s">
        <v>287</v>
      </c>
      <c r="BA6" s="576"/>
      <c r="BB6" s="576"/>
      <c r="BC6" s="576"/>
      <c r="BD6" s="576"/>
      <c r="BE6" s="576"/>
      <c r="BF6" s="576"/>
      <c r="BG6" s="576"/>
      <c r="BH6" s="6"/>
      <c r="BI6" s="6"/>
      <c r="BJ6" s="577" t="s">
        <v>289</v>
      </c>
      <c r="BK6" s="577"/>
      <c r="BL6" s="577"/>
      <c r="BM6" s="577"/>
      <c r="BN6" s="577"/>
      <c r="BO6" s="577"/>
      <c r="BP6" s="577"/>
      <c r="BQ6" s="577"/>
      <c r="BR6" s="6"/>
      <c r="BS6" s="6"/>
      <c r="BT6" s="6"/>
      <c r="BU6" s="6"/>
      <c r="BV6" s="6"/>
      <c r="BW6" s="6"/>
      <c r="BX6" s="6"/>
      <c r="BY6" s="6"/>
      <c r="BZ6" s="6"/>
      <c r="CA6" s="6"/>
      <c r="CC6" s="47"/>
    </row>
    <row r="7" spans="1:92" ht="29.45" customHeight="1" outlineLevel="1" thickBot="1" x14ac:dyDescent="0.3">
      <c r="A7" s="430" t="s">
        <v>5</v>
      </c>
      <c r="B7" s="34" t="s">
        <v>7</v>
      </c>
      <c r="C7" s="34" t="s">
        <v>2</v>
      </c>
      <c r="D7" s="547" t="s">
        <v>46</v>
      </c>
      <c r="E7" s="547"/>
      <c r="F7" s="350" t="s">
        <v>9</v>
      </c>
      <c r="G7" s="350" t="s">
        <v>0</v>
      </c>
      <c r="H7" s="206" t="s">
        <v>348</v>
      </c>
      <c r="I7" s="30" t="s">
        <v>33</v>
      </c>
      <c r="J7" s="43" t="s">
        <v>194</v>
      </c>
      <c r="K7" s="182" t="s">
        <v>43</v>
      </c>
      <c r="L7" s="30" t="s">
        <v>58</v>
      </c>
      <c r="M7" s="30" t="s">
        <v>59</v>
      </c>
      <c r="N7" s="30" t="s">
        <v>60</v>
      </c>
      <c r="O7" s="30" t="s">
        <v>229</v>
      </c>
      <c r="P7" s="29" t="s">
        <v>20</v>
      </c>
      <c r="Q7" s="28" t="s">
        <v>28</v>
      </c>
      <c r="R7" s="29" t="s">
        <v>27</v>
      </c>
      <c r="S7" s="28" t="s">
        <v>21</v>
      </c>
      <c r="T7" s="43" t="s">
        <v>58</v>
      </c>
      <c r="U7" s="201" t="s">
        <v>59</v>
      </c>
      <c r="V7" s="43" t="s">
        <v>60</v>
      </c>
      <c r="W7" s="201" t="s">
        <v>61</v>
      </c>
      <c r="X7" s="98" t="s">
        <v>92</v>
      </c>
      <c r="Y7" s="37" t="s">
        <v>20</v>
      </c>
      <c r="Z7" s="40" t="s">
        <v>28</v>
      </c>
      <c r="AA7" s="37" t="s">
        <v>27</v>
      </c>
      <c r="AB7" s="40" t="s">
        <v>21</v>
      </c>
      <c r="AC7" s="182" t="s">
        <v>58</v>
      </c>
      <c r="AD7" s="322" t="s">
        <v>59</v>
      </c>
      <c r="AE7" s="182" t="s">
        <v>60</v>
      </c>
      <c r="AF7" s="322" t="s">
        <v>61</v>
      </c>
      <c r="AG7" s="98" t="s">
        <v>92</v>
      </c>
      <c r="AH7" s="172" t="s">
        <v>20</v>
      </c>
      <c r="AI7" s="171" t="s">
        <v>28</v>
      </c>
      <c r="AJ7" s="172" t="s">
        <v>27</v>
      </c>
      <c r="AK7" s="449" t="s">
        <v>21</v>
      </c>
      <c r="AO7" s="459" t="s">
        <v>10</v>
      </c>
      <c r="AP7" s="459" t="s">
        <v>15</v>
      </c>
      <c r="AQ7" s="459" t="s">
        <v>22</v>
      </c>
      <c r="AR7" s="459" t="s">
        <v>12</v>
      </c>
      <c r="AS7" s="459" t="s">
        <v>13</v>
      </c>
      <c r="AT7" s="459" t="s">
        <v>285</v>
      </c>
      <c r="AU7" s="459" t="s">
        <v>286</v>
      </c>
      <c r="AV7" s="459" t="s">
        <v>14</v>
      </c>
      <c r="AW7" s="6"/>
      <c r="AX7" s="6"/>
      <c r="AY7" s="6"/>
      <c r="AZ7" s="460" t="s">
        <v>10</v>
      </c>
      <c r="BA7" s="460" t="s">
        <v>15</v>
      </c>
      <c r="BB7" s="460" t="s">
        <v>288</v>
      </c>
      <c r="BC7" s="460" t="s">
        <v>12</v>
      </c>
      <c r="BD7" s="460" t="s">
        <v>13</v>
      </c>
      <c r="BE7" s="460" t="s">
        <v>285</v>
      </c>
      <c r="BF7" s="460" t="s">
        <v>286</v>
      </c>
      <c r="BG7" s="460" t="s">
        <v>14</v>
      </c>
      <c r="BH7" s="6"/>
      <c r="BI7" s="6"/>
      <c r="BJ7" s="461" t="s">
        <v>10</v>
      </c>
      <c r="BK7" s="461" t="s">
        <v>15</v>
      </c>
      <c r="BL7" s="461" t="s">
        <v>288</v>
      </c>
      <c r="BM7" s="461" t="s">
        <v>12</v>
      </c>
      <c r="BN7" s="461" t="s">
        <v>13</v>
      </c>
      <c r="BO7" s="461" t="s">
        <v>285</v>
      </c>
      <c r="BP7" s="461" t="s">
        <v>286</v>
      </c>
      <c r="BQ7" s="461" t="s">
        <v>14</v>
      </c>
      <c r="BR7" s="6"/>
      <c r="BS7" s="6"/>
      <c r="BT7" s="6"/>
      <c r="BU7" s="6"/>
      <c r="BV7" s="6"/>
      <c r="BW7" s="6"/>
      <c r="BX7" s="6"/>
      <c r="BY7" s="6"/>
      <c r="BZ7" s="6"/>
      <c r="CA7" s="6"/>
      <c r="CC7" s="47"/>
    </row>
    <row r="8" spans="1:92" s="1" customFormat="1" ht="81" customHeight="1" x14ac:dyDescent="0.25">
      <c r="A8" s="433" t="s">
        <v>18</v>
      </c>
      <c r="B8" s="9" t="s">
        <v>309</v>
      </c>
      <c r="C8" s="9" t="s">
        <v>310</v>
      </c>
      <c r="D8" s="557" t="s">
        <v>301</v>
      </c>
      <c r="E8" s="557"/>
      <c r="F8" s="9" t="s">
        <v>51</v>
      </c>
      <c r="G8" s="9" t="s">
        <v>53</v>
      </c>
      <c r="H8" s="166" t="s">
        <v>57</v>
      </c>
      <c r="I8" s="221">
        <v>2468.91</v>
      </c>
      <c r="J8" s="160">
        <v>2459.7539999999999</v>
      </c>
      <c r="K8" s="205">
        <v>2563.98</v>
      </c>
      <c r="L8" s="221">
        <v>1598</v>
      </c>
      <c r="M8" s="318">
        <v>679.15000000000009</v>
      </c>
      <c r="N8" s="221">
        <v>119.85000000000001</v>
      </c>
      <c r="O8" s="318">
        <v>71.910000000000011</v>
      </c>
      <c r="P8" s="31"/>
      <c r="Q8" s="169"/>
      <c r="R8" s="31"/>
      <c r="S8" s="169"/>
      <c r="T8" s="161">
        <v>1542.4199999999998</v>
      </c>
      <c r="U8" s="157">
        <v>730.62</v>
      </c>
      <c r="V8" s="161">
        <v>121.77</v>
      </c>
      <c r="W8" s="157">
        <v>64.944000000000003</v>
      </c>
      <c r="X8" s="319">
        <v>2468.91</v>
      </c>
      <c r="Y8" s="44"/>
      <c r="Z8" s="151"/>
      <c r="AA8" s="44"/>
      <c r="AB8" s="151"/>
      <c r="AC8" s="320">
        <v>1485.75</v>
      </c>
      <c r="AD8" s="323">
        <v>849</v>
      </c>
      <c r="AE8" s="320">
        <v>169.79999999999998</v>
      </c>
      <c r="AF8" s="323">
        <v>59.43</v>
      </c>
      <c r="AG8" s="319">
        <v>2459.7539999999999</v>
      </c>
      <c r="AH8" s="321"/>
      <c r="AI8" s="324"/>
      <c r="AJ8" s="321"/>
      <c r="AK8" s="450"/>
      <c r="AL8" s="47"/>
      <c r="AM8" s="47"/>
      <c r="AN8" s="47"/>
      <c r="AO8" s="462">
        <v>296.26919999999996</v>
      </c>
      <c r="AP8" s="462">
        <v>444.40379999999993</v>
      </c>
      <c r="AQ8" s="462">
        <v>617.22749999999996</v>
      </c>
      <c r="AR8" s="462">
        <v>74.067299999999989</v>
      </c>
      <c r="AS8" s="462">
        <v>320.95830000000001</v>
      </c>
      <c r="AT8" s="462">
        <v>271.58009999999996</v>
      </c>
      <c r="AU8" s="462">
        <v>246.89099999999999</v>
      </c>
      <c r="AV8" s="462">
        <v>197.5128</v>
      </c>
      <c r="AW8" s="47"/>
      <c r="AX8" s="47"/>
      <c r="AY8" s="47"/>
      <c r="AZ8" s="462">
        <v>295.17048</v>
      </c>
      <c r="BA8" s="462">
        <v>442.75571999999994</v>
      </c>
      <c r="BB8" s="462">
        <v>614.93849999999998</v>
      </c>
      <c r="BC8" s="462">
        <v>73.792619999999999</v>
      </c>
      <c r="BD8" s="462">
        <v>319.76801999999998</v>
      </c>
      <c r="BE8" s="462">
        <v>270.57294000000002</v>
      </c>
      <c r="BF8" s="462">
        <v>245.97540000000001</v>
      </c>
      <c r="BG8" s="462">
        <v>196.78031999999999</v>
      </c>
      <c r="BH8" s="47"/>
      <c r="BI8" s="47"/>
      <c r="BJ8" s="462">
        <v>307.67759999999998</v>
      </c>
      <c r="BK8" s="462">
        <v>461.51639999999998</v>
      </c>
      <c r="BL8" s="462">
        <v>640.995</v>
      </c>
      <c r="BM8" s="462">
        <v>76.919399999999996</v>
      </c>
      <c r="BN8" s="462">
        <v>333.31740000000002</v>
      </c>
      <c r="BO8" s="462">
        <v>282.0378</v>
      </c>
      <c r="BP8" s="462">
        <v>256.39800000000002</v>
      </c>
      <c r="BQ8" s="462">
        <v>205.11840000000001</v>
      </c>
      <c r="BR8" s="47"/>
      <c r="BS8" s="47"/>
      <c r="BT8" s="47"/>
      <c r="BU8" s="47"/>
      <c r="BV8" s="47"/>
      <c r="BW8" s="6"/>
      <c r="BX8" s="6"/>
      <c r="BY8" s="6"/>
      <c r="BZ8" s="6"/>
      <c r="CA8" s="6"/>
      <c r="CB8" s="6"/>
      <c r="CC8" s="6"/>
    </row>
    <row r="9" spans="1:92" s="11" customFormat="1" ht="45.75" customHeight="1" x14ac:dyDescent="0.25">
      <c r="A9" s="434"/>
      <c r="B9" s="71"/>
      <c r="C9" s="71"/>
      <c r="D9" s="106"/>
      <c r="E9" s="106"/>
      <c r="F9" s="71"/>
      <c r="G9" s="71"/>
      <c r="H9" s="71"/>
      <c r="I9" s="337"/>
      <c r="J9" s="337"/>
      <c r="K9" s="337"/>
      <c r="L9" s="337"/>
      <c r="M9" s="337"/>
      <c r="N9" s="337"/>
      <c r="O9" s="337"/>
      <c r="P9" s="71"/>
      <c r="Q9" s="71"/>
      <c r="R9" s="71"/>
      <c r="S9" s="71"/>
      <c r="T9" s="337"/>
      <c r="U9" s="337"/>
      <c r="V9" s="337"/>
      <c r="W9" s="337"/>
      <c r="X9" s="337"/>
      <c r="Y9" s="71"/>
      <c r="Z9" s="71"/>
      <c r="AA9" s="71"/>
      <c r="AB9" s="71"/>
      <c r="AC9" s="337"/>
      <c r="AD9" s="337"/>
      <c r="AE9" s="337"/>
      <c r="AF9" s="53"/>
      <c r="AG9" s="53"/>
      <c r="AH9" s="53"/>
      <c r="AI9" s="53"/>
      <c r="AJ9" s="53"/>
      <c r="AK9" s="435"/>
      <c r="AL9" s="53"/>
      <c r="AM9" s="53"/>
      <c r="AN9" s="53"/>
      <c r="AO9" s="53"/>
      <c r="AP9" s="338"/>
      <c r="AQ9" s="338"/>
      <c r="AR9" s="338"/>
      <c r="AS9" s="338"/>
      <c r="AT9" s="338"/>
      <c r="AU9" s="338"/>
      <c r="AV9" s="338"/>
      <c r="AW9" s="54"/>
      <c r="AX9" s="54"/>
      <c r="AY9" s="54"/>
      <c r="AZ9" s="338"/>
      <c r="BA9" s="338"/>
      <c r="BB9" s="338"/>
      <c r="BC9" s="338"/>
      <c r="BD9" s="338"/>
      <c r="BE9" s="338"/>
      <c r="BF9" s="338"/>
      <c r="BG9" s="338"/>
      <c r="BH9" s="54"/>
      <c r="BI9" s="54"/>
      <c r="BJ9" s="338"/>
      <c r="BK9" s="338"/>
      <c r="BL9" s="338"/>
      <c r="BM9" s="338"/>
      <c r="BN9" s="338"/>
      <c r="BO9" s="338"/>
      <c r="BP9" s="338"/>
      <c r="BQ9" s="338"/>
      <c r="BR9" s="54"/>
      <c r="BS9" s="54"/>
      <c r="BT9" s="54"/>
      <c r="BU9" s="54"/>
      <c r="BV9" s="54"/>
      <c r="BW9" s="53"/>
      <c r="BX9" s="53"/>
      <c r="BY9" s="53"/>
      <c r="BZ9" s="53"/>
      <c r="CA9" s="53"/>
      <c r="CB9" s="53"/>
      <c r="CC9" s="53"/>
    </row>
    <row r="10" spans="1:92" s="1" customFormat="1" x14ac:dyDescent="0.25">
      <c r="A10" s="43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6"/>
      <c r="AF10" s="6"/>
      <c r="AG10" s="6"/>
      <c r="AH10" s="6"/>
      <c r="AI10" s="6"/>
      <c r="AJ10" s="6"/>
      <c r="AK10" s="432"/>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92" s="1" customFormat="1" ht="27.75" customHeight="1" x14ac:dyDescent="0.35">
      <c r="A11" s="604" t="s">
        <v>333</v>
      </c>
      <c r="B11" s="605"/>
      <c r="C11" s="605"/>
      <c r="D11" s="605"/>
      <c r="E11" s="605"/>
      <c r="F11" s="605"/>
      <c r="G11" s="605"/>
      <c r="H11" s="605"/>
      <c r="I11" s="605"/>
      <c r="J11" s="605"/>
      <c r="K11" s="57"/>
      <c r="L11" s="57"/>
      <c r="M11" s="155"/>
      <c r="N11" s="57"/>
      <c r="O11" s="159"/>
      <c r="P11" s="57"/>
      <c r="Q11" s="57"/>
      <c r="R11" s="57"/>
      <c r="S11" s="57"/>
      <c r="T11" s="57"/>
      <c r="U11" s="57"/>
      <c r="V11" s="57"/>
      <c r="W11" s="57"/>
      <c r="X11" s="57"/>
      <c r="Y11" s="57"/>
      <c r="Z11" s="57"/>
      <c r="AA11" s="57"/>
      <c r="AB11" s="57"/>
      <c r="AC11" s="57"/>
      <c r="AD11" s="57"/>
      <c r="AE11" s="58"/>
      <c r="AF11" s="6"/>
      <c r="AG11" s="6"/>
      <c r="AH11" s="6"/>
      <c r="AI11" s="6"/>
      <c r="AJ11" s="6"/>
      <c r="AK11" s="432"/>
      <c r="AL11" s="6"/>
      <c r="AM11" s="6"/>
      <c r="AN11" s="6"/>
      <c r="AO11" s="6"/>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6"/>
      <c r="BY11" s="6"/>
      <c r="BZ11" s="6"/>
      <c r="CA11" s="6"/>
      <c r="CB11" s="6"/>
      <c r="CC11" s="6"/>
    </row>
    <row r="12" spans="1:92" s="11" customFormat="1" ht="27.75" customHeight="1" x14ac:dyDescent="0.35">
      <c r="A12" s="437"/>
      <c r="B12" s="59"/>
      <c r="C12" s="59"/>
      <c r="D12" s="59"/>
      <c r="E12" s="60"/>
      <c r="F12" s="60"/>
      <c r="G12" s="60"/>
      <c r="H12" s="60"/>
      <c r="I12" s="60"/>
      <c r="J12" s="60"/>
      <c r="K12" s="60"/>
      <c r="L12" s="60"/>
      <c r="M12" s="154"/>
      <c r="N12" s="60"/>
      <c r="O12" s="60"/>
      <c r="P12" s="60"/>
      <c r="Q12" s="60"/>
      <c r="R12" s="60"/>
      <c r="S12" s="60"/>
      <c r="T12" s="60"/>
      <c r="U12" s="60"/>
      <c r="V12" s="60"/>
      <c r="W12" s="60"/>
      <c r="X12" s="60"/>
      <c r="Y12" s="60"/>
      <c r="Z12" s="60"/>
      <c r="AA12" s="60"/>
      <c r="AB12" s="60"/>
      <c r="AC12" s="60"/>
      <c r="AD12" s="60"/>
      <c r="AE12" s="53"/>
      <c r="AF12" s="53"/>
      <c r="AG12" s="53"/>
      <c r="AH12" s="53"/>
      <c r="AI12" s="53"/>
      <c r="AJ12" s="53"/>
      <c r="AK12" s="435"/>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E12" s="337"/>
      <c r="CF12" s="337"/>
      <c r="CG12" s="71"/>
      <c r="CH12" s="71"/>
      <c r="CI12" s="71"/>
      <c r="CJ12" s="71"/>
      <c r="CK12" s="54"/>
      <c r="CL12" s="54"/>
      <c r="CM12" s="54"/>
      <c r="CN12" s="338"/>
    </row>
    <row r="13" spans="1:92" s="1" customFormat="1" ht="29.25" customHeight="1" outlineLevel="1" x14ac:dyDescent="0.35">
      <c r="A13" s="428"/>
      <c r="B13" s="183" t="s">
        <v>8</v>
      </c>
      <c r="C13" s="184">
        <v>2018</v>
      </c>
      <c r="D13" s="185">
        <v>2019</v>
      </c>
      <c r="E13" s="191">
        <v>2020</v>
      </c>
      <c r="F13" s="60"/>
      <c r="G13" s="6"/>
      <c r="H13" s="60"/>
      <c r="I13" s="60"/>
      <c r="J13" s="60"/>
      <c r="K13" s="60"/>
      <c r="L13" s="55"/>
      <c r="M13" s="156"/>
      <c r="N13" s="55"/>
      <c r="O13" s="55"/>
      <c r="P13" s="55"/>
      <c r="Q13" s="55"/>
      <c r="R13" s="55"/>
      <c r="S13" s="55"/>
      <c r="T13" s="55"/>
      <c r="U13" s="55"/>
      <c r="V13" s="55"/>
      <c r="W13" s="55"/>
      <c r="X13" s="55"/>
      <c r="Y13" s="55"/>
      <c r="Z13" s="55"/>
      <c r="AA13" s="55"/>
      <c r="AB13" s="55"/>
      <c r="AC13" s="6"/>
      <c r="AD13" s="6"/>
      <c r="AE13" s="6"/>
      <c r="AF13" s="6"/>
      <c r="AG13" s="6"/>
      <c r="AH13" s="6"/>
      <c r="AI13" s="6"/>
      <c r="AJ13" s="6"/>
      <c r="AK13" s="432"/>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E13" s="6"/>
      <c r="CF13" s="6"/>
      <c r="CG13" s="6"/>
      <c r="CH13" s="6">
        <v>4760</v>
      </c>
      <c r="CI13" s="53" t="s">
        <v>84</v>
      </c>
      <c r="CJ13" s="259">
        <f>CH13*CK13</f>
        <v>571.19999999999993</v>
      </c>
      <c r="CK13" s="83">
        <v>0.12</v>
      </c>
      <c r="CL13" s="6"/>
      <c r="CM13" s="6"/>
      <c r="CN13" s="6"/>
    </row>
    <row r="14" spans="1:92" s="1" customFormat="1" ht="23.45" customHeight="1" outlineLevel="1" x14ac:dyDescent="0.35">
      <c r="A14" s="436"/>
      <c r="B14" s="186" t="s">
        <v>25</v>
      </c>
      <c r="C14" s="187">
        <f>'Lh Budgetting'!O6+'Lh Budgetting'!O7+'Lh Budgetting'!O8+'Lh Budgetting'!O9</f>
        <v>63250000</v>
      </c>
      <c r="D14" s="188">
        <f>'Lh Budgetting'!P6+'Lh Budgetting'!P7+'Lh Budgetting'!P8+'Lh Budgetting'!P9</f>
        <v>63500000</v>
      </c>
      <c r="E14" s="192">
        <f>'Lh Budgetting'!Q6+'Lh Budgetting'!Q7+'Lh Budgetting'!Q8+'Lh Budgetting'!Q9</f>
        <v>68000000</v>
      </c>
      <c r="F14" s="60"/>
      <c r="G14" s="6"/>
      <c r="H14" s="60"/>
      <c r="I14" s="60"/>
      <c r="J14" s="60"/>
      <c r="K14" s="60"/>
      <c r="L14" s="55"/>
      <c r="M14" s="55"/>
      <c r="N14" s="55"/>
      <c r="O14" s="55"/>
      <c r="P14" s="55"/>
      <c r="Q14" s="55"/>
      <c r="R14" s="55"/>
      <c r="S14" s="55"/>
      <c r="T14" s="55"/>
      <c r="U14" s="55"/>
      <c r="V14" s="55"/>
      <c r="W14" s="55"/>
      <c r="X14" s="55"/>
      <c r="Y14" s="55"/>
      <c r="Z14" s="162"/>
      <c r="AA14" s="55"/>
      <c r="AB14" s="55"/>
      <c r="AC14" s="6"/>
      <c r="AD14" s="6"/>
      <c r="AE14" s="347"/>
      <c r="AF14" s="6"/>
      <c r="AG14" s="6"/>
      <c r="AH14" s="6"/>
      <c r="AI14" s="6"/>
      <c r="AJ14" s="6"/>
      <c r="AK14" s="432"/>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E14" s="58"/>
      <c r="CF14" s="53"/>
      <c r="CG14" s="53"/>
      <c r="CH14" s="603" t="s">
        <v>273</v>
      </c>
      <c r="CI14" s="86" t="s">
        <v>85</v>
      </c>
      <c r="CJ14" s="259">
        <f>CH13*CK14</f>
        <v>856.8</v>
      </c>
      <c r="CK14" s="84">
        <v>0.18</v>
      </c>
      <c r="CL14" s="53"/>
      <c r="CM14" s="53"/>
      <c r="CN14" s="53"/>
    </row>
    <row r="15" spans="1:92" s="1" customFormat="1" ht="23.45" customHeight="1" outlineLevel="1" x14ac:dyDescent="0.35">
      <c r="A15" s="428"/>
      <c r="B15" s="132" t="s">
        <v>23</v>
      </c>
      <c r="C15" s="62">
        <v>0</v>
      </c>
      <c r="D15" s="63">
        <v>0</v>
      </c>
      <c r="E15" s="223">
        <v>0</v>
      </c>
      <c r="F15" s="60"/>
      <c r="G15" s="6"/>
      <c r="H15" s="60"/>
      <c r="I15" s="60"/>
      <c r="J15" s="60"/>
      <c r="K15" s="60"/>
      <c r="L15" s="55"/>
      <c r="M15" s="55"/>
      <c r="N15" s="55"/>
      <c r="O15" s="55"/>
      <c r="P15" s="55"/>
      <c r="Q15" s="55"/>
      <c r="R15" s="55"/>
      <c r="S15" s="55"/>
      <c r="T15" s="55"/>
      <c r="U15" s="55"/>
      <c r="V15" s="55"/>
      <c r="W15" s="55"/>
      <c r="X15" s="55"/>
      <c r="Y15" s="55"/>
      <c r="Z15" s="55"/>
      <c r="AA15" s="162"/>
      <c r="AB15" s="55"/>
      <c r="AC15" s="55"/>
      <c r="AD15" s="55"/>
      <c r="AE15" s="55"/>
      <c r="AF15" s="6"/>
      <c r="AG15" s="6"/>
      <c r="AH15" s="6"/>
      <c r="AI15" s="6"/>
      <c r="AJ15" s="6"/>
      <c r="AK15" s="432"/>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E15" s="53"/>
      <c r="CF15" s="53"/>
      <c r="CG15" s="53"/>
      <c r="CH15" s="603"/>
      <c r="CI15" s="87" t="s">
        <v>86</v>
      </c>
      <c r="CJ15" s="259">
        <f>CH13*CK15</f>
        <v>142.79999999999998</v>
      </c>
      <c r="CK15" s="84">
        <v>0.03</v>
      </c>
      <c r="CL15" s="53"/>
      <c r="CM15" s="53"/>
      <c r="CN15" s="328"/>
    </row>
    <row r="16" spans="1:92" s="1" customFormat="1" ht="23.45" customHeight="1" outlineLevel="1" x14ac:dyDescent="0.35">
      <c r="A16" s="428"/>
      <c r="B16" s="132" t="s">
        <v>24</v>
      </c>
      <c r="C16" s="62">
        <v>1</v>
      </c>
      <c r="D16" s="63">
        <v>1</v>
      </c>
      <c r="E16" s="223">
        <v>1</v>
      </c>
      <c r="F16" s="60"/>
      <c r="G16" s="6"/>
      <c r="H16" s="60"/>
      <c r="I16" s="158"/>
      <c r="J16" s="60"/>
      <c r="K16" s="60"/>
      <c r="L16" s="55"/>
      <c r="M16" s="55"/>
      <c r="N16" s="55"/>
      <c r="O16" s="55"/>
      <c r="P16" s="55"/>
      <c r="Q16" s="55"/>
      <c r="R16" s="55"/>
      <c r="S16" s="55"/>
      <c r="T16" s="55"/>
      <c r="U16" s="55"/>
      <c r="V16" s="55"/>
      <c r="W16" s="55"/>
      <c r="X16" s="55"/>
      <c r="Y16" s="55"/>
      <c r="Z16" s="55"/>
      <c r="AA16" s="55"/>
      <c r="AB16" s="55"/>
      <c r="AC16" s="55"/>
      <c r="AD16" s="55"/>
      <c r="AE16" s="55"/>
      <c r="AF16" s="6"/>
      <c r="AG16" s="6"/>
      <c r="AH16" s="6"/>
      <c r="AI16" s="6"/>
      <c r="AJ16" s="6"/>
      <c r="AK16" s="432"/>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E16" s="6">
        <f>AA5/2</f>
        <v>2031.1666666666667</v>
      </c>
      <c r="CF16" s="6"/>
      <c r="CG16" s="6"/>
      <c r="CH16" s="603"/>
      <c r="CI16" s="87" t="s">
        <v>87</v>
      </c>
      <c r="CJ16" s="259">
        <f>CH13*CK16</f>
        <v>1190</v>
      </c>
      <c r="CK16" s="83">
        <v>0.25</v>
      </c>
      <c r="CL16" s="6"/>
      <c r="CM16" s="6"/>
      <c r="CN16" s="6"/>
    </row>
    <row r="17" spans="1:92" s="1" customFormat="1" ht="19.5" customHeight="1" outlineLevel="1" x14ac:dyDescent="0.35">
      <c r="A17" s="428"/>
      <c r="B17" s="47"/>
      <c r="C17" s="47"/>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6"/>
      <c r="AG17" s="6"/>
      <c r="AH17" s="6"/>
      <c r="AI17" s="6"/>
      <c r="AJ17" s="6"/>
      <c r="AK17" s="432"/>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E17" s="72"/>
      <c r="CF17" s="72"/>
      <c r="CG17" s="72"/>
      <c r="CH17" s="603"/>
      <c r="CI17" s="87" t="s">
        <v>88</v>
      </c>
      <c r="CJ17" s="259">
        <f>CH13*CK17</f>
        <v>618.80000000000007</v>
      </c>
      <c r="CK17" s="83">
        <v>0.13</v>
      </c>
      <c r="CL17" s="6"/>
      <c r="CM17" s="6"/>
      <c r="CN17" s="6"/>
    </row>
    <row r="18" spans="1:92" ht="21" outlineLevel="1" x14ac:dyDescent="0.35">
      <c r="A18" s="555" t="s">
        <v>44</v>
      </c>
      <c r="B18" s="556"/>
      <c r="C18" s="556"/>
      <c r="D18" s="556"/>
      <c r="E18" s="556"/>
      <c r="F18" s="556"/>
      <c r="G18" s="556"/>
      <c r="H18" s="288"/>
      <c r="I18" s="288"/>
      <c r="J18" s="288"/>
      <c r="K18" s="288"/>
      <c r="L18" s="544" t="s">
        <v>191</v>
      </c>
      <c r="M18" s="544"/>
      <c r="N18" s="544"/>
      <c r="O18" s="544"/>
      <c r="P18" s="544"/>
      <c r="Q18" s="544"/>
      <c r="R18" s="544"/>
      <c r="S18" s="544"/>
      <c r="T18" s="546" t="s">
        <v>211</v>
      </c>
      <c r="U18" s="546"/>
      <c r="V18" s="546"/>
      <c r="W18" s="546"/>
      <c r="X18" s="546"/>
      <c r="Y18" s="546"/>
      <c r="Z18" s="546"/>
      <c r="AA18" s="546"/>
      <c r="AB18" s="546"/>
      <c r="AC18" s="573" t="s">
        <v>231</v>
      </c>
      <c r="AD18" s="573"/>
      <c r="AE18" s="573"/>
      <c r="AF18" s="573"/>
      <c r="AG18" s="573"/>
      <c r="AH18" s="573"/>
      <c r="AI18" s="573"/>
      <c r="AJ18" s="573"/>
      <c r="AK18" s="574"/>
      <c r="AO18" s="575" t="s">
        <v>290</v>
      </c>
      <c r="AP18" s="575"/>
      <c r="AQ18" s="575"/>
      <c r="AR18" s="575"/>
      <c r="AS18" s="575"/>
      <c r="AT18" s="575"/>
      <c r="AU18" s="575"/>
      <c r="AV18" s="575"/>
      <c r="AW18" s="6"/>
      <c r="AX18" s="6"/>
      <c r="AY18" s="6"/>
      <c r="AZ18" s="576" t="s">
        <v>287</v>
      </c>
      <c r="BA18" s="576"/>
      <c r="BB18" s="576"/>
      <c r="BC18" s="576"/>
      <c r="BD18" s="576"/>
      <c r="BE18" s="576"/>
      <c r="BF18" s="576"/>
      <c r="BG18" s="576"/>
      <c r="BH18" s="6"/>
      <c r="BI18" s="6"/>
      <c r="BJ18" s="577" t="s">
        <v>289</v>
      </c>
      <c r="BK18" s="577"/>
      <c r="BL18" s="577"/>
      <c r="BM18" s="577"/>
      <c r="BN18" s="577"/>
      <c r="BO18" s="577"/>
      <c r="BP18" s="577"/>
      <c r="BQ18" s="577"/>
      <c r="BR18" s="6"/>
      <c r="BS18" s="6"/>
      <c r="BT18" s="6"/>
      <c r="BU18" s="6"/>
      <c r="BV18" s="6"/>
      <c r="BW18" s="6"/>
      <c r="BX18" s="6"/>
      <c r="BY18" s="6"/>
      <c r="BZ18" s="6"/>
      <c r="CA18" s="6"/>
      <c r="CC18" s="47"/>
      <c r="CE18" s="6"/>
      <c r="CF18" s="6"/>
      <c r="CG18" s="6"/>
      <c r="CH18" s="603"/>
      <c r="CI18" s="87" t="s">
        <v>89</v>
      </c>
      <c r="CJ18" s="259">
        <f>CH13*CK18</f>
        <v>523.6</v>
      </c>
      <c r="CK18" s="85">
        <v>0.11</v>
      </c>
      <c r="CL18" s="46"/>
      <c r="CM18" s="46"/>
      <c r="CN18" s="46"/>
    </row>
    <row r="19" spans="1:92" ht="29.45" customHeight="1" outlineLevel="1" thickBot="1" x14ac:dyDescent="0.3">
      <c r="A19" s="430" t="s">
        <v>5</v>
      </c>
      <c r="B19" s="34" t="s">
        <v>7</v>
      </c>
      <c r="C19" s="34" t="s">
        <v>2</v>
      </c>
      <c r="D19" s="547" t="s">
        <v>46</v>
      </c>
      <c r="E19" s="547"/>
      <c r="F19" s="350" t="s">
        <v>9</v>
      </c>
      <c r="G19" s="350" t="s">
        <v>0</v>
      </c>
      <c r="H19" s="206" t="s">
        <v>348</v>
      </c>
      <c r="I19" s="30" t="s">
        <v>33</v>
      </c>
      <c r="J19" s="43" t="s">
        <v>194</v>
      </c>
      <c r="K19" s="182" t="s">
        <v>43</v>
      </c>
      <c r="L19" s="30" t="s">
        <v>58</v>
      </c>
      <c r="M19" s="30" t="s">
        <v>59</v>
      </c>
      <c r="N19" s="30" t="s">
        <v>60</v>
      </c>
      <c r="O19" s="30" t="s">
        <v>229</v>
      </c>
      <c r="P19" s="29" t="s">
        <v>20</v>
      </c>
      <c r="Q19" s="28" t="s">
        <v>28</v>
      </c>
      <c r="R19" s="29" t="s">
        <v>27</v>
      </c>
      <c r="S19" s="28" t="s">
        <v>21</v>
      </c>
      <c r="T19" s="43" t="s">
        <v>58</v>
      </c>
      <c r="U19" s="201" t="s">
        <v>59</v>
      </c>
      <c r="V19" s="43" t="s">
        <v>60</v>
      </c>
      <c r="W19" s="201" t="s">
        <v>61</v>
      </c>
      <c r="X19" s="98" t="s">
        <v>92</v>
      </c>
      <c r="Y19" s="37" t="s">
        <v>20</v>
      </c>
      <c r="Z19" s="40" t="s">
        <v>28</v>
      </c>
      <c r="AA19" s="37" t="s">
        <v>27</v>
      </c>
      <c r="AB19" s="40" t="s">
        <v>21</v>
      </c>
      <c r="AC19" s="182" t="s">
        <v>58</v>
      </c>
      <c r="AD19" s="322" t="s">
        <v>59</v>
      </c>
      <c r="AE19" s="182" t="s">
        <v>60</v>
      </c>
      <c r="AF19" s="322" t="s">
        <v>61</v>
      </c>
      <c r="AG19" s="98" t="s">
        <v>92</v>
      </c>
      <c r="AH19" s="172" t="s">
        <v>20</v>
      </c>
      <c r="AI19" s="171" t="s">
        <v>28</v>
      </c>
      <c r="AJ19" s="172" t="s">
        <v>27</v>
      </c>
      <c r="AK19" s="449" t="s">
        <v>21</v>
      </c>
      <c r="AO19" s="459" t="s">
        <v>10</v>
      </c>
      <c r="AP19" s="459" t="s">
        <v>15</v>
      </c>
      <c r="AQ19" s="459" t="s">
        <v>22</v>
      </c>
      <c r="AR19" s="459" t="s">
        <v>12</v>
      </c>
      <c r="AS19" s="459" t="s">
        <v>13</v>
      </c>
      <c r="AT19" s="459" t="s">
        <v>285</v>
      </c>
      <c r="AU19" s="459" t="s">
        <v>286</v>
      </c>
      <c r="AV19" s="459" t="s">
        <v>14</v>
      </c>
      <c r="AW19" s="6"/>
      <c r="AX19" s="6"/>
      <c r="AY19" s="6"/>
      <c r="AZ19" s="460" t="s">
        <v>10</v>
      </c>
      <c r="BA19" s="460" t="s">
        <v>15</v>
      </c>
      <c r="BB19" s="460" t="s">
        <v>288</v>
      </c>
      <c r="BC19" s="460" t="s">
        <v>12</v>
      </c>
      <c r="BD19" s="460" t="s">
        <v>13</v>
      </c>
      <c r="BE19" s="460" t="s">
        <v>285</v>
      </c>
      <c r="BF19" s="460" t="s">
        <v>286</v>
      </c>
      <c r="BG19" s="460" t="s">
        <v>14</v>
      </c>
      <c r="BH19" s="6"/>
      <c r="BI19" s="6"/>
      <c r="BJ19" s="461" t="s">
        <v>10</v>
      </c>
      <c r="BK19" s="461" t="s">
        <v>15</v>
      </c>
      <c r="BL19" s="461" t="s">
        <v>288</v>
      </c>
      <c r="BM19" s="461" t="s">
        <v>12</v>
      </c>
      <c r="BN19" s="461" t="s">
        <v>13</v>
      </c>
      <c r="BO19" s="461" t="s">
        <v>285</v>
      </c>
      <c r="BP19" s="461" t="s">
        <v>286</v>
      </c>
      <c r="BQ19" s="461" t="s">
        <v>14</v>
      </c>
      <c r="BR19" s="6"/>
      <c r="BS19" s="6"/>
      <c r="BT19" s="6"/>
      <c r="BU19" s="6"/>
      <c r="BV19" s="6"/>
      <c r="BW19" s="6"/>
      <c r="BX19" s="6"/>
      <c r="BY19" s="6"/>
      <c r="BZ19" s="6"/>
      <c r="CA19" s="6"/>
      <c r="CC19" s="47"/>
      <c r="CE19" s="6"/>
      <c r="CF19" s="6"/>
      <c r="CG19" s="6"/>
      <c r="CH19" s="603"/>
      <c r="CI19" s="88" t="s">
        <v>90</v>
      </c>
      <c r="CJ19" s="259">
        <f>CH13*CK19</f>
        <v>476</v>
      </c>
      <c r="CK19" s="85">
        <v>0.1</v>
      </c>
      <c r="CL19" s="46"/>
      <c r="CM19" s="46"/>
      <c r="CN19" s="46"/>
    </row>
    <row r="20" spans="1:92" ht="132" customHeight="1" outlineLevel="1" x14ac:dyDescent="0.25">
      <c r="A20" s="438" t="s">
        <v>17</v>
      </c>
      <c r="B20" s="189" t="s">
        <v>262</v>
      </c>
      <c r="C20" s="189" t="s">
        <v>263</v>
      </c>
      <c r="D20" s="554" t="s">
        <v>225</v>
      </c>
      <c r="E20" s="554"/>
      <c r="F20" s="10" t="s">
        <v>272</v>
      </c>
      <c r="G20" s="10" t="s">
        <v>264</v>
      </c>
      <c r="H20" s="256">
        <v>648</v>
      </c>
      <c r="I20" s="35">
        <f>P20+Q20+R20+S20</f>
        <v>4935</v>
      </c>
      <c r="J20" s="38">
        <f>Y20+Z20+AA20+AB20</f>
        <v>4920</v>
      </c>
      <c r="K20" s="174">
        <f>K5</f>
        <v>5130</v>
      </c>
      <c r="L20" s="545"/>
      <c r="M20" s="545"/>
      <c r="N20" s="545"/>
      <c r="O20" s="545"/>
      <c r="P20" s="325">
        <f>M5</f>
        <v>807.75</v>
      </c>
      <c r="Q20" s="326">
        <f>Q5</f>
        <v>40.625</v>
      </c>
      <c r="R20" s="325">
        <f>U5</f>
        <v>101.125</v>
      </c>
      <c r="S20" s="326">
        <f>Y5</f>
        <v>3985.5</v>
      </c>
      <c r="T20" s="38"/>
      <c r="U20" s="42"/>
      <c r="V20" s="38"/>
      <c r="W20" s="42"/>
      <c r="X20" s="167">
        <f>I20</f>
        <v>4935</v>
      </c>
      <c r="Y20" s="38">
        <f>N5</f>
        <v>820.77777777777783</v>
      </c>
      <c r="Z20" s="157">
        <f>R5</f>
        <v>42.277777777777779</v>
      </c>
      <c r="AA20" s="161">
        <f>V5</f>
        <v>104.27777777777779</v>
      </c>
      <c r="AB20" s="157">
        <f>Z5</f>
        <v>3952.6666666666665</v>
      </c>
      <c r="AC20" s="174"/>
      <c r="AD20" s="165"/>
      <c r="AE20" s="174"/>
      <c r="AF20" s="165"/>
      <c r="AG20" s="167">
        <f>J20</f>
        <v>4920</v>
      </c>
      <c r="AH20" s="174">
        <f>'Lh Budgetting'!AH10</f>
        <v>902.55555555555554</v>
      </c>
      <c r="AI20" s="323">
        <f>'Lh Budgetting'!AJ10</f>
        <v>48.055555555555557</v>
      </c>
      <c r="AJ20" s="320">
        <f>'Lh Budgetting'!AI10</f>
        <v>117.05555555555557</v>
      </c>
      <c r="AK20" s="451">
        <f>'Lh Budgetting'!AG10</f>
        <v>4062.3333333333335</v>
      </c>
      <c r="AO20" s="164">
        <f>AS5</f>
        <v>314.30521499999998</v>
      </c>
      <c r="AP20" s="164">
        <f>AX5</f>
        <v>1453.1107500000001</v>
      </c>
      <c r="AQ20" s="164">
        <f>BC5</f>
        <v>404.10247499999997</v>
      </c>
      <c r="AR20" s="164">
        <f>BH5</f>
        <v>4.0817385000000002</v>
      </c>
      <c r="AS20" s="164">
        <f>BM5</f>
        <v>2232.7914000000001</v>
      </c>
      <c r="AT20" s="164">
        <f>BR5</f>
        <v>159.19323</v>
      </c>
      <c r="AU20" s="164">
        <f>BW5</f>
        <v>204.09186</v>
      </c>
      <c r="AV20" s="164">
        <f>CB5</f>
        <v>163.27447500000002</v>
      </c>
      <c r="AZ20" s="164">
        <f>J20*12%</f>
        <v>590.4</v>
      </c>
      <c r="BA20" s="164">
        <f>J20*18%</f>
        <v>885.6</v>
      </c>
      <c r="BB20" s="164">
        <f>J20*25%</f>
        <v>1230</v>
      </c>
      <c r="BC20" s="164">
        <f>J20*3%</f>
        <v>147.6</v>
      </c>
      <c r="BD20" s="164">
        <f>J20*13%</f>
        <v>639.6</v>
      </c>
      <c r="BE20" s="164">
        <f>J20*11%</f>
        <v>541.20000000000005</v>
      </c>
      <c r="BF20" s="164">
        <f>J20*10%</f>
        <v>492</v>
      </c>
      <c r="BG20" s="164">
        <f>J20*8%</f>
        <v>393.6</v>
      </c>
      <c r="BJ20" s="164">
        <f>K20*12%</f>
        <v>615.6</v>
      </c>
      <c r="BK20" s="164">
        <f>K20*18%</f>
        <v>923.4</v>
      </c>
      <c r="BL20" s="164">
        <f>K20*25%</f>
        <v>1282.5</v>
      </c>
      <c r="BM20" s="164">
        <f>K20*3%</f>
        <v>153.9</v>
      </c>
      <c r="BN20" s="164">
        <f>K20*13%</f>
        <v>666.9</v>
      </c>
      <c r="BO20" s="164">
        <f>K20*11%</f>
        <v>564.29999999999995</v>
      </c>
      <c r="BP20" s="164">
        <f>K20*10%</f>
        <v>513</v>
      </c>
      <c r="BQ20" s="164">
        <f>K20*8%</f>
        <v>410.40000000000003</v>
      </c>
      <c r="CC20" s="47"/>
      <c r="CE20" s="6"/>
      <c r="CF20" s="6"/>
      <c r="CG20" s="6"/>
      <c r="CH20" s="603"/>
      <c r="CI20" s="6" t="s">
        <v>91</v>
      </c>
      <c r="CJ20" s="259">
        <f>CH13*CK20</f>
        <v>380.8</v>
      </c>
      <c r="CK20" s="83">
        <v>0.08</v>
      </c>
      <c r="CL20" s="1"/>
      <c r="CM20" s="1"/>
      <c r="CN20" s="1"/>
    </row>
    <row r="21" spans="1:92" ht="88.5" customHeight="1" outlineLevel="1" x14ac:dyDescent="0.25">
      <c r="A21" s="433" t="s">
        <v>18</v>
      </c>
      <c r="B21" s="9" t="s">
        <v>161</v>
      </c>
      <c r="C21" s="9" t="s">
        <v>54</v>
      </c>
      <c r="D21" s="557" t="s">
        <v>50</v>
      </c>
      <c r="E21" s="557"/>
      <c r="F21" s="9" t="s">
        <v>56</v>
      </c>
      <c r="G21" s="9" t="s">
        <v>52</v>
      </c>
      <c r="H21" s="167">
        <v>87</v>
      </c>
      <c r="I21" s="35">
        <v>1091.2582200000002</v>
      </c>
      <c r="J21" s="38">
        <v>1087.2112679999998</v>
      </c>
      <c r="K21" s="174">
        <v>1133.27916</v>
      </c>
      <c r="L21" s="35">
        <v>706.31600000000003</v>
      </c>
      <c r="M21" s="36">
        <v>300.18430000000006</v>
      </c>
      <c r="N21" s="35">
        <v>52.973700000000001</v>
      </c>
      <c r="O21" s="36">
        <v>31.784220000000005</v>
      </c>
      <c r="P21" s="181"/>
      <c r="Q21" s="330"/>
      <c r="R21" s="330"/>
      <c r="S21" s="331"/>
      <c r="T21" s="38">
        <v>681.74963999999989</v>
      </c>
      <c r="U21" s="42">
        <v>322.93403999999998</v>
      </c>
      <c r="V21" s="38">
        <v>53.822339999999997</v>
      </c>
      <c r="W21" s="42">
        <v>28.705248000000001</v>
      </c>
      <c r="X21" s="167">
        <v>1091.2582200000002</v>
      </c>
      <c r="Y21" s="332"/>
      <c r="Z21" s="333"/>
      <c r="AA21" s="333"/>
      <c r="AB21" s="334"/>
      <c r="AC21" s="174">
        <v>656.70150000000001</v>
      </c>
      <c r="AD21" s="165">
        <v>375.25799999999998</v>
      </c>
      <c r="AE21" s="174">
        <v>75.051599999999993</v>
      </c>
      <c r="AF21" s="165">
        <v>26.268059999999998</v>
      </c>
      <c r="AG21" s="167">
        <v>1087.2112679999998</v>
      </c>
      <c r="AH21" s="335"/>
      <c r="AI21" s="336"/>
      <c r="AJ21" s="336"/>
      <c r="AK21" s="452"/>
      <c r="AO21" s="462">
        <v>130.95098640000001</v>
      </c>
      <c r="AP21" s="462">
        <v>196.42647960000002</v>
      </c>
      <c r="AQ21" s="462">
        <v>272.81455500000004</v>
      </c>
      <c r="AR21" s="462">
        <v>32.737746600000001</v>
      </c>
      <c r="AS21" s="462">
        <v>141.86356860000004</v>
      </c>
      <c r="AT21" s="462">
        <v>120.03840420000002</v>
      </c>
      <c r="AU21" s="462">
        <v>109.12582200000003</v>
      </c>
      <c r="AV21" s="462">
        <v>87.300657600000008</v>
      </c>
      <c r="AZ21" s="462">
        <v>130.46535215999998</v>
      </c>
      <c r="BA21" s="462">
        <v>195.69802823999996</v>
      </c>
      <c r="BB21" s="462">
        <v>271.80281699999995</v>
      </c>
      <c r="BC21" s="462">
        <v>32.616338039999995</v>
      </c>
      <c r="BD21" s="462">
        <v>141.33746483999997</v>
      </c>
      <c r="BE21" s="462">
        <v>119.59323947999998</v>
      </c>
      <c r="BF21" s="462">
        <v>108.72112679999998</v>
      </c>
      <c r="BG21" s="462">
        <v>86.976901439999992</v>
      </c>
      <c r="BJ21" s="462">
        <v>135.9934992</v>
      </c>
      <c r="BK21" s="462">
        <v>203.99024879999999</v>
      </c>
      <c r="BL21" s="462">
        <v>283.31979000000001</v>
      </c>
      <c r="BM21" s="462">
        <v>33.998374800000001</v>
      </c>
      <c r="BN21" s="462">
        <v>147.32629080000001</v>
      </c>
      <c r="BO21" s="462">
        <v>124.66070760000001</v>
      </c>
      <c r="BP21" s="462">
        <v>113.32791600000002</v>
      </c>
      <c r="BQ21" s="462">
        <v>90.662332800000001</v>
      </c>
      <c r="CC21" s="47"/>
    </row>
    <row r="22" spans="1:92" ht="31.5" customHeight="1" outlineLevel="1" x14ac:dyDescent="0.35">
      <c r="B22" s="55"/>
      <c r="C22" s="55"/>
      <c r="D22" s="55"/>
      <c r="E22" s="55"/>
      <c r="F22" s="162"/>
      <c r="G22" s="55"/>
      <c r="H22" s="55"/>
      <c r="I22" s="55"/>
      <c r="J22" s="55"/>
      <c r="K22" s="55"/>
      <c r="L22" s="55"/>
      <c r="M22" s="55"/>
      <c r="N22" s="55"/>
      <c r="O22" s="55"/>
      <c r="P22" s="55"/>
      <c r="Q22" s="55"/>
      <c r="R22" s="55"/>
      <c r="S22" s="55"/>
      <c r="Z22" s="164"/>
      <c r="AG22" s="6"/>
      <c r="AH22" s="6"/>
      <c r="AJ22" s="164"/>
      <c r="AK22" s="429"/>
      <c r="AM22" s="64"/>
      <c r="AO22" s="65"/>
      <c r="AP22" s="65"/>
      <c r="AQ22" s="65"/>
      <c r="AR22" s="65"/>
      <c r="AS22" s="65"/>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4"/>
      <c r="CA22" s="54"/>
      <c r="CB22" s="54"/>
      <c r="CC22" s="47"/>
      <c r="CJ22" s="47"/>
      <c r="CK22" s="47" t="s">
        <v>77</v>
      </c>
      <c r="CL22" s="258">
        <f>AF20+AK20+AP20+AU20+AZ20+BE20+BJ20+BO20</f>
        <v>8031.0359433333342</v>
      </c>
      <c r="CM22" s="67"/>
    </row>
    <row r="23" spans="1:92" ht="21" outlineLevel="1" x14ac:dyDescent="0.35">
      <c r="A23" s="439" t="s">
        <v>49</v>
      </c>
      <c r="B23" s="305"/>
      <c r="C23" s="305"/>
      <c r="D23" s="305"/>
      <c r="E23" s="305"/>
      <c r="F23" s="305"/>
      <c r="G23" s="305"/>
      <c r="H23" s="305"/>
      <c r="I23" s="305"/>
      <c r="J23" s="305"/>
      <c r="K23" s="306"/>
      <c r="L23" s="69"/>
      <c r="M23" s="69"/>
      <c r="N23" s="69"/>
      <c r="O23" s="69"/>
      <c r="P23" s="69"/>
      <c r="Q23" s="69"/>
      <c r="R23" s="69"/>
      <c r="S23" s="69"/>
      <c r="T23" s="69"/>
      <c r="U23" s="69"/>
      <c r="V23" s="69"/>
      <c r="W23" s="69"/>
      <c r="X23" s="69"/>
      <c r="Y23" s="69"/>
      <c r="Z23" s="69"/>
      <c r="AA23" s="69"/>
      <c r="AB23" s="69"/>
      <c r="AC23" s="69"/>
      <c r="AD23" s="69"/>
      <c r="AE23" s="69"/>
      <c r="AF23" s="257"/>
      <c r="AK23" s="429"/>
      <c r="AM23" s="54"/>
      <c r="AN23" s="590"/>
      <c r="AO23" s="590"/>
      <c r="AP23" s="590"/>
      <c r="AQ23" s="590"/>
      <c r="AR23" s="590"/>
      <c r="AS23" s="590"/>
      <c r="AT23" s="590"/>
      <c r="AU23" s="590"/>
      <c r="AV23" s="590"/>
      <c r="AW23" s="590"/>
      <c r="AX23" s="590"/>
      <c r="AY23" s="590"/>
      <c r="AZ23" s="590"/>
      <c r="BA23" s="590"/>
      <c r="BB23" s="590"/>
      <c r="BC23" s="590"/>
      <c r="BD23" s="590"/>
      <c r="BE23" s="590"/>
      <c r="BF23" s="590"/>
      <c r="BG23" s="590"/>
      <c r="BH23" s="590"/>
      <c r="BI23" s="590"/>
      <c r="BJ23" s="590"/>
      <c r="BK23" s="590"/>
      <c r="BL23" s="590"/>
      <c r="BM23" s="590"/>
      <c r="BN23" s="590"/>
      <c r="BO23" s="590"/>
      <c r="BP23" s="590"/>
      <c r="BQ23" s="590"/>
      <c r="BV23" s="346"/>
      <c r="BW23" s="590"/>
      <c r="BX23" s="590"/>
      <c r="BY23" s="590"/>
      <c r="BZ23" s="590"/>
      <c r="CA23" s="590"/>
      <c r="CB23" s="54"/>
      <c r="CC23" s="47"/>
      <c r="CJ23" s="47"/>
      <c r="CK23" s="47" t="s">
        <v>233</v>
      </c>
      <c r="CL23" s="258">
        <f>AG20+AL20+AQ20+AV20+BA20+BF20+BK20+BP20</f>
        <v>8301.3769499999999</v>
      </c>
      <c r="CM23" s="68"/>
    </row>
    <row r="24" spans="1:92" ht="24.6" customHeight="1" outlineLevel="1" x14ac:dyDescent="0.25">
      <c r="A24" s="570" t="s">
        <v>62</v>
      </c>
      <c r="B24" s="571"/>
      <c r="C24" s="571"/>
      <c r="D24" s="571"/>
      <c r="E24" s="571"/>
      <c r="F24" s="571"/>
      <c r="G24" s="571"/>
      <c r="H24" s="571"/>
      <c r="I24" s="571"/>
      <c r="J24" s="571"/>
      <c r="K24" s="572"/>
      <c r="L24" s="71"/>
      <c r="M24" s="71"/>
      <c r="N24" s="71"/>
      <c r="AH24" s="67"/>
      <c r="AI24" s="67"/>
      <c r="AJ24" s="67"/>
      <c r="AK24" s="443"/>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CC24" s="47"/>
      <c r="CJ24" s="47"/>
      <c r="CK24" s="54" t="s">
        <v>234</v>
      </c>
      <c r="CL24" s="258">
        <f>AH20+AM20+AR20+AW20+BB20+BG20+BL20+BQ20</f>
        <v>4223.1372940555557</v>
      </c>
      <c r="CM24" s="68"/>
    </row>
    <row r="25" spans="1:92" ht="24.6" customHeight="1" outlineLevel="1" x14ac:dyDescent="0.25">
      <c r="A25" s="567" t="s">
        <v>63</v>
      </c>
      <c r="B25" s="568"/>
      <c r="C25" s="568"/>
      <c r="D25" s="568"/>
      <c r="E25" s="568"/>
      <c r="F25" s="568"/>
      <c r="G25" s="568"/>
      <c r="H25" s="568"/>
      <c r="I25" s="568"/>
      <c r="J25" s="568"/>
      <c r="K25" s="569"/>
      <c r="L25" s="70"/>
      <c r="M25" s="70"/>
      <c r="N25" s="70"/>
      <c r="AH25" s="68"/>
      <c r="AI25" s="68"/>
      <c r="AJ25" s="68"/>
      <c r="AK25" s="444"/>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CC25" s="47"/>
      <c r="CJ25" s="47"/>
      <c r="CK25" s="54" t="s">
        <v>235</v>
      </c>
      <c r="CL25" s="258">
        <f>AI20+AN20+AS20+AX20+BC20+BH20+BM20+BR20</f>
        <v>2582.3469555555557</v>
      </c>
      <c r="CM25" s="68"/>
    </row>
    <row r="26" spans="1:92" ht="24.6" customHeight="1" outlineLevel="1" x14ac:dyDescent="0.25">
      <c r="A26" s="564" t="s">
        <v>64</v>
      </c>
      <c r="B26" s="565"/>
      <c r="C26" s="565"/>
      <c r="D26" s="565"/>
      <c r="E26" s="565"/>
      <c r="F26" s="565"/>
      <c r="G26" s="565"/>
      <c r="H26" s="565"/>
      <c r="I26" s="565"/>
      <c r="J26" s="565"/>
      <c r="K26" s="566"/>
      <c r="L26" s="70"/>
      <c r="M26" s="70"/>
      <c r="N26" s="70"/>
      <c r="AH26" s="68"/>
      <c r="AI26" s="68"/>
      <c r="AJ26" s="68"/>
      <c r="AK26" s="444"/>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CC26" s="47"/>
    </row>
    <row r="27" spans="1:92" ht="24.6" customHeight="1" outlineLevel="1" x14ac:dyDescent="0.25">
      <c r="A27" s="567" t="s">
        <v>65</v>
      </c>
      <c r="B27" s="568"/>
      <c r="C27" s="568"/>
      <c r="D27" s="568"/>
      <c r="E27" s="568"/>
      <c r="F27" s="568"/>
      <c r="G27" s="568"/>
      <c r="H27" s="568"/>
      <c r="I27" s="568"/>
      <c r="J27" s="568"/>
      <c r="K27" s="569"/>
      <c r="L27" s="70"/>
      <c r="M27" s="70"/>
      <c r="N27" s="70"/>
      <c r="AH27" s="68"/>
      <c r="AI27" s="68"/>
      <c r="AJ27" s="68"/>
      <c r="AK27" s="444"/>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54"/>
      <c r="CC27" s="47"/>
    </row>
    <row r="28" spans="1:92" s="77" customFormat="1" ht="24.6" customHeight="1" outlineLevel="1" x14ac:dyDescent="0.25">
      <c r="A28" s="564" t="s">
        <v>66</v>
      </c>
      <c r="B28" s="565"/>
      <c r="C28" s="565"/>
      <c r="D28" s="565"/>
      <c r="E28" s="565"/>
      <c r="F28" s="565"/>
      <c r="G28" s="565"/>
      <c r="H28" s="565"/>
      <c r="I28" s="565"/>
      <c r="J28" s="565"/>
      <c r="K28" s="566"/>
      <c r="L28" s="73"/>
      <c r="M28" s="73"/>
      <c r="N28" s="73"/>
      <c r="O28" s="74"/>
      <c r="P28" s="74"/>
      <c r="Q28" s="74"/>
      <c r="R28" s="74"/>
      <c r="S28" s="74"/>
      <c r="T28" s="74"/>
      <c r="U28" s="74"/>
      <c r="V28" s="74"/>
      <c r="W28" s="74"/>
      <c r="X28" s="74"/>
      <c r="Y28" s="74"/>
      <c r="Z28" s="74"/>
      <c r="AA28" s="74"/>
      <c r="AB28" s="74"/>
      <c r="AC28" s="74"/>
      <c r="AD28" s="74"/>
      <c r="AE28" s="74"/>
      <c r="AF28" s="75"/>
      <c r="AG28" s="76"/>
      <c r="AH28" s="76"/>
      <c r="AI28" s="76"/>
      <c r="AJ28" s="76"/>
      <c r="AK28" s="453"/>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4"/>
      <c r="BV28" s="74"/>
      <c r="BW28" s="74"/>
      <c r="BX28" s="74"/>
      <c r="BY28" s="74"/>
      <c r="BZ28" s="74"/>
      <c r="CA28" s="74"/>
      <c r="CB28" s="74"/>
      <c r="CC28" s="74"/>
    </row>
    <row r="29" spans="1:92" s="77" customFormat="1" ht="24.6" customHeight="1" outlineLevel="1" x14ac:dyDescent="0.25">
      <c r="A29" s="567" t="s">
        <v>293</v>
      </c>
      <c r="B29" s="568"/>
      <c r="C29" s="568"/>
      <c r="D29" s="568"/>
      <c r="E29" s="568"/>
      <c r="F29" s="568"/>
      <c r="G29" s="568"/>
      <c r="H29" s="568"/>
      <c r="I29" s="568"/>
      <c r="J29" s="568"/>
      <c r="K29" s="569"/>
      <c r="L29" s="73"/>
      <c r="M29" s="73"/>
      <c r="N29" s="73"/>
      <c r="O29" s="74"/>
      <c r="P29" s="74"/>
      <c r="Q29" s="74"/>
      <c r="R29" s="74"/>
      <c r="S29" s="74"/>
      <c r="T29" s="74"/>
      <c r="U29" s="74"/>
      <c r="V29" s="74"/>
      <c r="W29" s="74"/>
      <c r="X29" s="74"/>
      <c r="Y29" s="74"/>
      <c r="Z29" s="74"/>
      <c r="AA29" s="74"/>
      <c r="AB29" s="74"/>
      <c r="AC29" s="74"/>
      <c r="AD29" s="74"/>
      <c r="AE29" s="74"/>
      <c r="AF29" s="75"/>
      <c r="AG29" s="76"/>
      <c r="AH29" s="76"/>
      <c r="AI29" s="76"/>
      <c r="AJ29" s="76"/>
      <c r="AK29" s="453"/>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4"/>
      <c r="BV29" s="74"/>
      <c r="BW29" s="74"/>
      <c r="BX29" s="74"/>
      <c r="BY29" s="74"/>
      <c r="BZ29" s="74"/>
      <c r="CA29" s="74"/>
      <c r="CB29" s="74"/>
      <c r="CC29" s="74"/>
    </row>
    <row r="30" spans="1:92" s="77" customFormat="1" ht="24.6" customHeight="1" outlineLevel="1" x14ac:dyDescent="0.25">
      <c r="A30" s="587" t="s">
        <v>296</v>
      </c>
      <c r="B30" s="588"/>
      <c r="C30" s="588"/>
      <c r="D30" s="588"/>
      <c r="E30" s="588"/>
      <c r="F30" s="588"/>
      <c r="G30" s="588"/>
      <c r="H30" s="588"/>
      <c r="I30" s="588"/>
      <c r="J30" s="588"/>
      <c r="K30" s="589"/>
      <c r="L30" s="73"/>
      <c r="M30" s="73"/>
      <c r="N30" s="73"/>
      <c r="O30" s="74"/>
      <c r="P30" s="74"/>
      <c r="Q30" s="74"/>
      <c r="R30" s="74"/>
      <c r="S30" s="74"/>
      <c r="T30" s="74"/>
      <c r="U30" s="74"/>
      <c r="V30" s="74"/>
      <c r="W30" s="74"/>
      <c r="X30" s="74"/>
      <c r="Y30" s="74"/>
      <c r="Z30" s="74"/>
      <c r="AA30" s="74"/>
      <c r="AB30" s="74"/>
      <c r="AC30" s="74"/>
      <c r="AD30" s="74"/>
      <c r="AE30" s="74"/>
      <c r="AF30" s="75"/>
      <c r="AG30" s="76"/>
      <c r="AH30" s="76"/>
      <c r="AI30" s="76"/>
      <c r="AJ30" s="76"/>
      <c r="AK30" s="453"/>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4"/>
      <c r="BV30" s="74"/>
      <c r="BW30" s="74"/>
      <c r="BX30" s="74"/>
      <c r="BY30" s="74"/>
      <c r="BZ30" s="74"/>
      <c r="CA30" s="74"/>
      <c r="CB30" s="74"/>
      <c r="CC30" s="74"/>
    </row>
    <row r="31" spans="1:92" x14ac:dyDescent="0.25">
      <c r="AK31" s="429"/>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47"/>
    </row>
    <row r="32" spans="1:92" s="1" customFormat="1" ht="27.75" customHeight="1" x14ac:dyDescent="0.35">
      <c r="A32" s="604" t="s">
        <v>302</v>
      </c>
      <c r="B32" s="605"/>
      <c r="C32" s="605"/>
      <c r="D32" s="605"/>
      <c r="E32" s="605"/>
      <c r="F32" s="605"/>
      <c r="G32" s="605"/>
      <c r="H32" s="605"/>
      <c r="I32" s="605"/>
      <c r="J32" s="605"/>
      <c r="K32" s="605"/>
      <c r="L32" s="57"/>
      <c r="M32" s="57"/>
      <c r="N32" s="57"/>
      <c r="O32" s="57"/>
      <c r="P32" s="57"/>
      <c r="Q32" s="57"/>
      <c r="R32" s="57"/>
      <c r="S32" s="57"/>
      <c r="T32" s="57"/>
      <c r="U32" s="57"/>
      <c r="V32" s="57"/>
      <c r="W32" s="57"/>
      <c r="X32" s="57"/>
      <c r="Y32" s="57"/>
      <c r="Z32" s="57"/>
      <c r="AA32" s="57"/>
      <c r="AB32" s="57"/>
      <c r="AC32" s="57"/>
      <c r="AD32" s="57"/>
      <c r="AE32" s="58"/>
      <c r="AF32" s="58"/>
      <c r="AG32" s="53"/>
      <c r="AH32" s="53"/>
      <c r="AI32" s="53"/>
      <c r="AJ32" s="53"/>
      <c r="AK32" s="435"/>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6"/>
      <c r="BY32" s="6"/>
      <c r="BZ32" s="6"/>
      <c r="CA32" s="6"/>
      <c r="CB32" s="6"/>
      <c r="CC32" s="6"/>
    </row>
    <row r="33" spans="1:99" s="11" customFormat="1" ht="27.75" customHeight="1" x14ac:dyDescent="0.35">
      <c r="A33" s="437"/>
      <c r="B33" s="59"/>
      <c r="C33" s="59"/>
      <c r="D33" s="59"/>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53"/>
      <c r="AF33" s="53"/>
      <c r="AG33" s="53"/>
      <c r="AH33" s="53"/>
      <c r="AI33" s="53"/>
      <c r="AJ33" s="53"/>
      <c r="AK33" s="435"/>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L33" s="53"/>
      <c r="CM33" s="53"/>
      <c r="CN33" s="53"/>
      <c r="CO33" s="53"/>
      <c r="CP33" s="53"/>
      <c r="CQ33" s="53"/>
      <c r="CR33" s="53"/>
      <c r="CS33" s="53"/>
      <c r="CT33" s="53"/>
      <c r="CU33" s="53"/>
    </row>
    <row r="34" spans="1:99" s="1" customFormat="1" ht="29.25" customHeight="1" outlineLevel="1" x14ac:dyDescent="0.35">
      <c r="A34" s="428"/>
      <c r="B34" s="183" t="s">
        <v>8</v>
      </c>
      <c r="C34" s="184">
        <v>2018</v>
      </c>
      <c r="D34" s="185">
        <v>2019</v>
      </c>
      <c r="E34" s="197">
        <v>2020</v>
      </c>
      <c r="F34" s="60"/>
      <c r="G34" s="60"/>
      <c r="H34" s="60"/>
      <c r="I34" s="60"/>
      <c r="J34" s="60"/>
      <c r="K34" s="60"/>
      <c r="L34" s="55"/>
      <c r="M34" s="55"/>
      <c r="N34" s="55"/>
      <c r="O34" s="55"/>
      <c r="P34" s="55"/>
      <c r="Q34" s="55"/>
      <c r="R34" s="55"/>
      <c r="S34" s="55"/>
      <c r="T34" s="55"/>
      <c r="U34" s="55"/>
      <c r="V34" s="55"/>
      <c r="W34" s="55"/>
      <c r="X34" s="55"/>
      <c r="Y34" s="55"/>
      <c r="Z34" s="55"/>
      <c r="AA34" s="55"/>
      <c r="AB34" s="55"/>
      <c r="AC34" s="6"/>
      <c r="AD34" s="6"/>
      <c r="AE34" s="6"/>
      <c r="AF34" s="6"/>
      <c r="AG34" s="6"/>
      <c r="AH34" s="6"/>
      <c r="AI34" s="6"/>
      <c r="AJ34" s="6"/>
      <c r="AK34" s="432"/>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L34" s="6"/>
      <c r="CM34" s="53"/>
      <c r="CN34" s="78"/>
      <c r="CO34" s="78" t="s">
        <v>77</v>
      </c>
      <c r="CP34" s="78" t="s">
        <v>28</v>
      </c>
      <c r="CQ34" s="78" t="s">
        <v>27</v>
      </c>
      <c r="CR34" s="78" t="s">
        <v>4</v>
      </c>
      <c r="CS34" s="78" t="s">
        <v>230</v>
      </c>
      <c r="CT34" s="53"/>
      <c r="CU34" s="53"/>
    </row>
    <row r="35" spans="1:99" s="1" customFormat="1" ht="23.45" customHeight="1" outlineLevel="1" x14ac:dyDescent="0.35">
      <c r="A35" s="436"/>
      <c r="B35" s="186" t="s">
        <v>25</v>
      </c>
      <c r="C35" s="187">
        <f>'Lh Budgetting'!O11+'Lh Budgetting'!O12</f>
        <v>50400000</v>
      </c>
      <c r="D35" s="188">
        <f>'Lh Budgetting'!P11+'Lh Budgetting'!P12</f>
        <v>42600000</v>
      </c>
      <c r="E35" s="196">
        <f>'Lh Budgetting'!Q11+'Lh Budgetting'!Q12</f>
        <v>27000000</v>
      </c>
      <c r="F35" s="60"/>
      <c r="G35" s="60"/>
      <c r="H35" s="60"/>
      <c r="I35" s="60"/>
      <c r="J35" s="60"/>
      <c r="K35" s="60"/>
      <c r="L35" s="55"/>
      <c r="M35" s="55"/>
      <c r="N35" s="55"/>
      <c r="O35" s="55"/>
      <c r="P35" s="55"/>
      <c r="Q35" s="55"/>
      <c r="R35" s="55"/>
      <c r="S35" s="55"/>
      <c r="T35" s="55"/>
      <c r="U35" s="55"/>
      <c r="V35" s="55"/>
      <c r="W35" s="55"/>
      <c r="X35" s="55"/>
      <c r="Y35" s="55"/>
      <c r="Z35" s="55"/>
      <c r="AA35" s="55"/>
      <c r="AB35" s="55"/>
      <c r="AC35" s="6"/>
      <c r="AD35" s="6"/>
      <c r="AE35" s="347"/>
      <c r="AF35" s="6"/>
      <c r="AG35" s="6"/>
      <c r="AH35" s="6"/>
      <c r="AI35" s="6"/>
      <c r="AJ35" s="6"/>
      <c r="AK35" s="432"/>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L35" s="6"/>
      <c r="CM35" s="558" t="s">
        <v>78</v>
      </c>
      <c r="CN35" s="79" t="s">
        <v>80</v>
      </c>
      <c r="CO35" s="80">
        <f>'Lh Budgetting'!T12</f>
        <v>512.82051282051282</v>
      </c>
      <c r="CP35" s="80">
        <f>'Lh Budgetting'!V12</f>
        <v>30.769230769230766</v>
      </c>
      <c r="CQ35" s="80">
        <f>'Lh Budgetting'!U12</f>
        <v>71.794871794871796</v>
      </c>
      <c r="CR35" s="80">
        <f>'Lh Budgetting'!S12</f>
        <v>1435.8974358974358</v>
      </c>
      <c r="CS35" s="80">
        <f>CO35+CP35+CQ35+CR35</f>
        <v>2051.2820512820513</v>
      </c>
      <c r="CT35" s="6"/>
      <c r="CU35" s="6"/>
    </row>
    <row r="36" spans="1:99" s="1" customFormat="1" ht="23.45" customHeight="1" outlineLevel="1" x14ac:dyDescent="0.35">
      <c r="A36" s="428"/>
      <c r="B36" s="132" t="s">
        <v>23</v>
      </c>
      <c r="C36" s="62">
        <v>0</v>
      </c>
      <c r="D36" s="63">
        <v>0</v>
      </c>
      <c r="E36" s="198">
        <v>0</v>
      </c>
      <c r="F36" s="60"/>
      <c r="G36" s="60"/>
      <c r="H36" s="60"/>
      <c r="I36" s="60"/>
      <c r="J36" s="60"/>
      <c r="K36" s="60"/>
      <c r="L36" s="55"/>
      <c r="M36" s="55"/>
      <c r="N36" s="55"/>
      <c r="O36" s="55"/>
      <c r="P36" s="55"/>
      <c r="Q36" s="55"/>
      <c r="R36" s="55"/>
      <c r="S36" s="55"/>
      <c r="T36" s="55"/>
      <c r="U36" s="55"/>
      <c r="V36" s="55"/>
      <c r="W36" s="55"/>
      <c r="X36" s="55"/>
      <c r="Y36" s="55"/>
      <c r="Z36" s="55"/>
      <c r="AA36" s="55"/>
      <c r="AB36" s="55"/>
      <c r="AC36" s="55"/>
      <c r="AD36" s="55"/>
      <c r="AE36" s="55"/>
      <c r="AF36" s="6"/>
      <c r="AG36" s="6"/>
      <c r="AH36" s="6"/>
      <c r="AI36" s="6"/>
      <c r="AJ36" s="6"/>
      <c r="AK36" s="432"/>
      <c r="AL36" s="6"/>
      <c r="AM36" s="6"/>
      <c r="AN36" s="6"/>
      <c r="AO36" s="347"/>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L36" s="6"/>
      <c r="CM36" s="558"/>
      <c r="CN36" s="81" t="s">
        <v>81</v>
      </c>
      <c r="CO36" s="265">
        <f>'Lh Budgetting'!T11</f>
        <v>461.53846153846155</v>
      </c>
      <c r="CP36" s="265">
        <f>'Lh Budgetting'!V11</f>
        <v>15.384615384615383</v>
      </c>
      <c r="CQ36" s="265">
        <f>'Lh Budgetting'!U11</f>
        <v>35.897435897435898</v>
      </c>
      <c r="CR36" s="265">
        <f>'Lh Budgetting'!S11</f>
        <v>512.82051282051282</v>
      </c>
      <c r="CS36" s="80">
        <f>CO36+CP36+CQ36+CR36</f>
        <v>1025.6410256410256</v>
      </c>
      <c r="CT36" s="6"/>
      <c r="CU36" s="6"/>
    </row>
    <row r="37" spans="1:99" s="1" customFormat="1" ht="23.45" customHeight="1" outlineLevel="1" x14ac:dyDescent="0.35">
      <c r="A37" s="428"/>
      <c r="B37" s="132" t="s">
        <v>24</v>
      </c>
      <c r="C37" s="62">
        <v>1</v>
      </c>
      <c r="D37" s="63">
        <v>1</v>
      </c>
      <c r="E37" s="198">
        <v>1</v>
      </c>
      <c r="F37" s="60"/>
      <c r="G37" s="60"/>
      <c r="H37" s="60"/>
      <c r="I37" s="60"/>
      <c r="J37" s="60"/>
      <c r="K37" s="60"/>
      <c r="L37" s="55"/>
      <c r="M37" s="55"/>
      <c r="N37" s="55"/>
      <c r="O37" s="55"/>
      <c r="P37" s="55"/>
      <c r="Q37" s="55"/>
      <c r="R37" s="55"/>
      <c r="S37" s="55"/>
      <c r="T37" s="55"/>
      <c r="U37" s="55"/>
      <c r="V37" s="55"/>
      <c r="W37" s="55"/>
      <c r="X37" s="55"/>
      <c r="Y37" s="55"/>
      <c r="Z37" s="55"/>
      <c r="AA37" s="55"/>
      <c r="AB37" s="55"/>
      <c r="AC37" s="55"/>
      <c r="AD37" s="55"/>
      <c r="AE37" s="55"/>
      <c r="AF37" s="6"/>
      <c r="AG37" s="6"/>
      <c r="AH37" s="6"/>
      <c r="AI37" s="6"/>
      <c r="AJ37" s="6"/>
      <c r="AK37" s="432"/>
      <c r="AL37" s="6"/>
      <c r="AM37" s="6"/>
      <c r="AN37" s="6"/>
      <c r="AO37" s="347"/>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L37" s="6"/>
      <c r="CM37" s="558" t="s">
        <v>79</v>
      </c>
      <c r="CN37" s="79" t="s">
        <v>82</v>
      </c>
      <c r="CO37" s="82">
        <f>CO35/8</f>
        <v>64.102564102564102</v>
      </c>
      <c r="CP37" s="82">
        <f>CP35/8</f>
        <v>3.8461538461538458</v>
      </c>
      <c r="CQ37" s="82">
        <f>CQ35/8</f>
        <v>8.9743589743589745</v>
      </c>
      <c r="CR37" s="82">
        <f>CR35/8</f>
        <v>179.48717948717947</v>
      </c>
      <c r="CS37" s="264"/>
      <c r="CT37" s="46"/>
      <c r="CU37" s="46"/>
    </row>
    <row r="38" spans="1:99" s="1" customFormat="1" ht="19.5" customHeight="1" outlineLevel="1" x14ac:dyDescent="0.35">
      <c r="A38" s="428"/>
      <c r="B38" s="47"/>
      <c r="C38" s="47"/>
      <c r="D38" s="55"/>
      <c r="E38" s="55"/>
      <c r="F38" s="55"/>
      <c r="G38" s="55"/>
      <c r="H38" s="55"/>
      <c r="I38" s="55"/>
      <c r="J38" s="55"/>
      <c r="K38" s="55"/>
      <c r="L38" s="55"/>
      <c r="M38" s="55"/>
      <c r="N38" s="55"/>
      <c r="O38" s="55"/>
      <c r="P38" s="55"/>
      <c r="Q38" s="55"/>
      <c r="R38" s="55"/>
      <c r="S38" s="55"/>
      <c r="T38" s="55"/>
      <c r="U38" s="55"/>
      <c r="V38" s="55"/>
      <c r="W38" s="55"/>
      <c r="X38" s="55"/>
      <c r="Y38" s="55"/>
      <c r="Z38" s="6"/>
      <c r="AA38" s="6"/>
      <c r="AB38" s="6"/>
      <c r="AC38" s="6"/>
      <c r="AD38" s="6"/>
      <c r="AE38" s="6"/>
      <c r="AF38" s="6"/>
      <c r="AG38" s="6"/>
      <c r="AH38" s="6"/>
      <c r="AI38" s="6"/>
      <c r="AJ38" s="6"/>
      <c r="AK38" s="432"/>
      <c r="AL38" s="6"/>
      <c r="AM38" s="6"/>
      <c r="AN38" s="6"/>
      <c r="AO38" s="6"/>
      <c r="AP38" s="6"/>
      <c r="AQ38" s="6"/>
      <c r="AR38" s="6"/>
      <c r="AS38" s="6"/>
      <c r="AT38" s="61" t="s">
        <v>193</v>
      </c>
      <c r="AU38" s="347"/>
      <c r="AV38" s="347"/>
      <c r="AW38" s="347"/>
      <c r="AX38" s="347"/>
      <c r="AY38" s="347"/>
      <c r="AZ38" s="347"/>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E38" s="6"/>
      <c r="CF38" s="6"/>
      <c r="CG38" s="6"/>
      <c r="CH38" s="6"/>
      <c r="CI38" s="6"/>
      <c r="CJ38" s="6"/>
      <c r="CL38" s="6"/>
      <c r="CM38" s="558"/>
      <c r="CN38" s="79" t="s">
        <v>83</v>
      </c>
      <c r="CO38" s="82">
        <f>CO36/20</f>
        <v>23.076923076923077</v>
      </c>
      <c r="CP38" s="82">
        <f>CP36/20</f>
        <v>0.76923076923076916</v>
      </c>
      <c r="CQ38" s="82">
        <f>CQ36/20</f>
        <v>1.7948717948717949</v>
      </c>
      <c r="CR38" s="82">
        <f>CR36/20</f>
        <v>25.641025641025642</v>
      </c>
      <c r="CS38" s="264"/>
      <c r="CT38" s="46"/>
      <c r="CU38" s="46"/>
    </row>
    <row r="39" spans="1:99" ht="21" outlineLevel="1" x14ac:dyDescent="0.35">
      <c r="A39" s="555" t="s">
        <v>45</v>
      </c>
      <c r="B39" s="556"/>
      <c r="C39" s="556"/>
      <c r="D39" s="556"/>
      <c r="E39" s="556"/>
      <c r="F39" s="556"/>
      <c r="G39" s="556"/>
      <c r="H39" s="591" t="s">
        <v>191</v>
      </c>
      <c r="I39" s="592"/>
      <c r="J39" s="592"/>
      <c r="K39" s="592"/>
      <c r="L39" s="592"/>
      <c r="M39" s="592"/>
      <c r="N39" s="593"/>
      <c r="O39" s="594" t="s">
        <v>211</v>
      </c>
      <c r="P39" s="595"/>
      <c r="Q39" s="595"/>
      <c r="R39" s="595"/>
      <c r="S39" s="595"/>
      <c r="T39" s="596"/>
      <c r="U39" s="559" t="s">
        <v>202</v>
      </c>
      <c r="V39" s="560"/>
      <c r="W39" s="560"/>
      <c r="X39" s="560"/>
      <c r="Y39" s="561"/>
      <c r="AK39" s="429"/>
      <c r="AO39" s="463" t="s">
        <v>10</v>
      </c>
      <c r="AP39" s="463"/>
      <c r="AQ39" s="463"/>
      <c r="AR39" s="463"/>
      <c r="AS39" s="463"/>
      <c r="AT39" s="463" t="s">
        <v>15</v>
      </c>
      <c r="AU39" s="463"/>
      <c r="AV39" s="463"/>
      <c r="AW39" s="463"/>
      <c r="AX39" s="463"/>
      <c r="AY39" s="463" t="s">
        <v>22</v>
      </c>
      <c r="AZ39" s="463"/>
      <c r="BA39" s="463"/>
      <c r="BB39" s="463"/>
      <c r="BC39" s="463"/>
      <c r="BD39" s="463" t="s">
        <v>12</v>
      </c>
      <c r="BE39" s="463"/>
      <c r="BF39" s="463"/>
      <c r="BG39" s="463"/>
      <c r="BH39" s="463"/>
      <c r="BI39" s="463" t="s">
        <v>13</v>
      </c>
      <c r="BJ39" s="463"/>
      <c r="BK39" s="463"/>
      <c r="BL39" s="463"/>
      <c r="BM39" s="463"/>
      <c r="BN39" s="463" t="s">
        <v>11</v>
      </c>
      <c r="BO39" s="463"/>
      <c r="BP39" s="463"/>
      <c r="BQ39" s="463"/>
      <c r="BR39" s="463"/>
      <c r="BS39" s="463" t="s">
        <v>16</v>
      </c>
      <c r="BT39" s="463"/>
      <c r="BU39" s="463"/>
      <c r="BV39" s="463"/>
      <c r="BW39" s="463"/>
      <c r="BX39" s="463" t="s">
        <v>14</v>
      </c>
      <c r="BY39" s="463"/>
      <c r="BZ39" s="463"/>
      <c r="CA39" s="463"/>
      <c r="CB39" s="463"/>
      <c r="CC39" s="47"/>
      <c r="CD39" s="47"/>
      <c r="CE39" s="47"/>
      <c r="CF39" s="47"/>
      <c r="CG39" s="6"/>
      <c r="CH39" s="6"/>
      <c r="CI39" s="6"/>
      <c r="CJ39" s="6"/>
    </row>
    <row r="40" spans="1:99" ht="36.75" customHeight="1" outlineLevel="1" thickBot="1" x14ac:dyDescent="0.3">
      <c r="A40" s="430" t="s">
        <v>5</v>
      </c>
      <c r="B40" s="34" t="s">
        <v>7</v>
      </c>
      <c r="C40" s="34" t="s">
        <v>2</v>
      </c>
      <c r="D40" s="547" t="s">
        <v>46</v>
      </c>
      <c r="E40" s="547"/>
      <c r="F40" s="350" t="s">
        <v>9</v>
      </c>
      <c r="G40" s="350" t="s">
        <v>0</v>
      </c>
      <c r="H40" s="206" t="s">
        <v>348</v>
      </c>
      <c r="I40" s="29" t="s">
        <v>20</v>
      </c>
      <c r="J40" s="28" t="s">
        <v>28</v>
      </c>
      <c r="K40" s="29" t="s">
        <v>27</v>
      </c>
      <c r="L40" s="28" t="s">
        <v>21</v>
      </c>
      <c r="M40" s="30" t="s">
        <v>75</v>
      </c>
      <c r="N40" s="29" t="s">
        <v>74</v>
      </c>
      <c r="O40" s="441" t="s">
        <v>297</v>
      </c>
      <c r="P40" s="37" t="s">
        <v>20</v>
      </c>
      <c r="Q40" s="40" t="s">
        <v>28</v>
      </c>
      <c r="R40" s="37" t="s">
        <v>27</v>
      </c>
      <c r="S40" s="40" t="s">
        <v>21</v>
      </c>
      <c r="T40" s="37" t="s">
        <v>76</v>
      </c>
      <c r="U40" s="441" t="s">
        <v>298</v>
      </c>
      <c r="V40" s="172" t="s">
        <v>20</v>
      </c>
      <c r="W40" s="171" t="s">
        <v>28</v>
      </c>
      <c r="X40" s="172" t="s">
        <v>27</v>
      </c>
      <c r="Y40" s="171" t="s">
        <v>21</v>
      </c>
      <c r="AK40" s="429"/>
      <c r="AO40" s="454" t="s">
        <v>20</v>
      </c>
      <c r="AP40" s="454" t="s">
        <v>28</v>
      </c>
      <c r="AQ40" s="454" t="s">
        <v>27</v>
      </c>
      <c r="AR40" s="454" t="s">
        <v>21</v>
      </c>
      <c r="AS40" s="454" t="s">
        <v>76</v>
      </c>
      <c r="AT40" s="454" t="s">
        <v>20</v>
      </c>
      <c r="AU40" s="454" t="s">
        <v>28</v>
      </c>
      <c r="AV40" s="454" t="s">
        <v>27</v>
      </c>
      <c r="AW40" s="454" t="s">
        <v>21</v>
      </c>
      <c r="AX40" s="454" t="s">
        <v>76</v>
      </c>
      <c r="AY40" s="454" t="s">
        <v>20</v>
      </c>
      <c r="AZ40" s="454" t="s">
        <v>28</v>
      </c>
      <c r="BA40" s="454" t="s">
        <v>27</v>
      </c>
      <c r="BB40" s="454" t="s">
        <v>21</v>
      </c>
      <c r="BC40" s="454" t="s">
        <v>76</v>
      </c>
      <c r="BD40" s="454" t="s">
        <v>20</v>
      </c>
      <c r="BE40" s="454" t="s">
        <v>28</v>
      </c>
      <c r="BF40" s="454" t="s">
        <v>27</v>
      </c>
      <c r="BG40" s="454" t="s">
        <v>21</v>
      </c>
      <c r="BH40" s="454" t="s">
        <v>76</v>
      </c>
      <c r="BI40" s="454" t="s">
        <v>20</v>
      </c>
      <c r="BJ40" s="454" t="s">
        <v>28</v>
      </c>
      <c r="BK40" s="454" t="s">
        <v>27</v>
      </c>
      <c r="BL40" s="454" t="s">
        <v>21</v>
      </c>
      <c r="BM40" s="454" t="s">
        <v>76</v>
      </c>
      <c r="BN40" s="454" t="s">
        <v>20</v>
      </c>
      <c r="BO40" s="454" t="s">
        <v>28</v>
      </c>
      <c r="BP40" s="454" t="s">
        <v>27</v>
      </c>
      <c r="BQ40" s="454" t="s">
        <v>21</v>
      </c>
      <c r="BR40" s="454" t="s">
        <v>76</v>
      </c>
      <c r="BS40" s="454" t="s">
        <v>20</v>
      </c>
      <c r="BT40" s="454" t="s">
        <v>28</v>
      </c>
      <c r="BU40" s="454" t="s">
        <v>27</v>
      </c>
      <c r="BV40" s="454" t="s">
        <v>21</v>
      </c>
      <c r="BW40" s="454" t="s">
        <v>76</v>
      </c>
      <c r="BX40" s="454" t="s">
        <v>20</v>
      </c>
      <c r="BY40" s="454" t="s">
        <v>28</v>
      </c>
      <c r="BZ40" s="454" t="s">
        <v>27</v>
      </c>
      <c r="CA40" s="454" t="s">
        <v>21</v>
      </c>
      <c r="CB40" s="454" t="s">
        <v>76</v>
      </c>
      <c r="CC40" s="47"/>
      <c r="CD40" s="47"/>
      <c r="CE40" s="47"/>
      <c r="CF40" s="47"/>
      <c r="CG40" s="47"/>
      <c r="CH40" s="47"/>
      <c r="CI40" s="47"/>
      <c r="CJ40" s="47"/>
    </row>
    <row r="41" spans="1:99" ht="33" customHeight="1" outlineLevel="1" x14ac:dyDescent="0.25">
      <c r="A41" s="431" t="s">
        <v>17</v>
      </c>
      <c r="B41" s="8" t="s">
        <v>67</v>
      </c>
      <c r="C41" s="8" t="s">
        <v>70</v>
      </c>
      <c r="D41" s="548" t="s">
        <v>72</v>
      </c>
      <c r="E41" s="548"/>
      <c r="F41" s="8" t="s">
        <v>224</v>
      </c>
      <c r="G41" s="8" t="s">
        <v>73</v>
      </c>
      <c r="H41" s="266" t="s">
        <v>349</v>
      </c>
      <c r="I41" s="203" t="s">
        <v>57</v>
      </c>
      <c r="J41" s="204"/>
      <c r="K41" s="203"/>
      <c r="L41" s="204"/>
      <c r="M41" s="32">
        <v>5</v>
      </c>
      <c r="N41" s="32">
        <v>20</v>
      </c>
      <c r="O41" s="263" t="s">
        <v>251</v>
      </c>
      <c r="P41" s="202"/>
      <c r="Q41" s="41"/>
      <c r="R41" s="39"/>
      <c r="S41" s="41"/>
      <c r="T41" s="39">
        <v>20</v>
      </c>
      <c r="U41" s="263" t="s">
        <v>246</v>
      </c>
      <c r="V41" s="173"/>
      <c r="W41" s="136"/>
      <c r="X41" s="173"/>
      <c r="Y41" s="136"/>
      <c r="AK41" s="429"/>
      <c r="AN41" s="66" t="s">
        <v>17</v>
      </c>
      <c r="AO41" s="464"/>
      <c r="AP41" s="464"/>
      <c r="AQ41" s="464"/>
      <c r="AR41" s="464"/>
      <c r="AS41" s="464">
        <v>4</v>
      </c>
      <c r="AT41" s="464"/>
      <c r="AU41" s="464"/>
      <c r="AV41" s="464"/>
      <c r="AW41" s="464"/>
      <c r="AX41" s="464">
        <v>4</v>
      </c>
      <c r="AY41" s="464"/>
      <c r="AZ41" s="464"/>
      <c r="BA41" s="464"/>
      <c r="BB41" s="464"/>
      <c r="BC41" s="464">
        <v>3</v>
      </c>
      <c r="BD41" s="464"/>
      <c r="BE41" s="464"/>
      <c r="BF41" s="464"/>
      <c r="BG41" s="464"/>
      <c r="BH41" s="464">
        <v>1</v>
      </c>
      <c r="BI41" s="464"/>
      <c r="BJ41" s="464"/>
      <c r="BK41" s="464"/>
      <c r="BL41" s="464"/>
      <c r="BM41" s="464">
        <v>4</v>
      </c>
      <c r="BN41" s="464"/>
      <c r="BO41" s="464"/>
      <c r="BP41" s="464"/>
      <c r="BQ41" s="464"/>
      <c r="BR41" s="464">
        <v>3</v>
      </c>
      <c r="BS41" s="464"/>
      <c r="BT41" s="464"/>
      <c r="BU41" s="464"/>
      <c r="BV41" s="464"/>
      <c r="BW41" s="464">
        <v>3</v>
      </c>
      <c r="BX41" s="464"/>
      <c r="BY41" s="464"/>
      <c r="BZ41" s="464"/>
      <c r="CA41" s="464"/>
      <c r="CB41" s="464">
        <v>3</v>
      </c>
      <c r="CC41" s="47"/>
      <c r="CD41" s="47"/>
      <c r="CE41" s="47"/>
      <c r="CF41" s="47"/>
      <c r="CG41" s="47"/>
      <c r="CH41" s="47"/>
      <c r="CI41" s="47"/>
      <c r="CJ41" s="47"/>
    </row>
    <row r="42" spans="1:99" ht="36.75" customHeight="1" outlineLevel="1" x14ac:dyDescent="0.25">
      <c r="A42" s="433" t="s">
        <v>18</v>
      </c>
      <c r="B42" s="9" t="s">
        <v>68</v>
      </c>
      <c r="C42" s="9" t="s">
        <v>69</v>
      </c>
      <c r="D42" s="557" t="s">
        <v>71</v>
      </c>
      <c r="E42" s="557"/>
      <c r="F42" s="9" t="s">
        <v>55</v>
      </c>
      <c r="G42" s="9" t="s">
        <v>73</v>
      </c>
      <c r="H42" s="260" t="s">
        <v>57</v>
      </c>
      <c r="I42" s="35">
        <f>'Lh Budgetting'!T11+'Lh Budgetting'!T12</f>
        <v>974.35897435897436</v>
      </c>
      <c r="J42" s="36">
        <f>'Lh Budgetting'!V11+'Lh Budgetting'!V12</f>
        <v>46.153846153846146</v>
      </c>
      <c r="K42" s="35">
        <f>'Lh Budgetting'!U11+'Lh Budgetting'!U12</f>
        <v>107.69230769230769</v>
      </c>
      <c r="L42" s="36">
        <f>'Lh Budgetting'!S11+'Lh Budgetting'!S12</f>
        <v>1948.7179487179487</v>
      </c>
      <c r="M42" s="35" t="s">
        <v>57</v>
      </c>
      <c r="N42" s="35"/>
      <c r="O42" s="262">
        <f>I42+J42+K42+L42</f>
        <v>3076.9230769230771</v>
      </c>
      <c r="P42" s="38">
        <v>974.35897435897436</v>
      </c>
      <c r="Q42" s="42">
        <v>46.153846153846146</v>
      </c>
      <c r="R42" s="38">
        <v>107.69230769230769</v>
      </c>
      <c r="S42" s="42">
        <v>1948.7179487179487</v>
      </c>
      <c r="T42" s="38"/>
      <c r="U42" s="262">
        <f>P42+Q42+R42+S42</f>
        <v>3076.9230769230771</v>
      </c>
      <c r="V42" s="174">
        <v>974.35897435897436</v>
      </c>
      <c r="W42" s="36">
        <v>46.153846153846146</v>
      </c>
      <c r="X42" s="174">
        <v>107.69230769230769</v>
      </c>
      <c r="Y42" s="165">
        <v>1948.7179487179487</v>
      </c>
      <c r="AK42" s="429"/>
      <c r="AN42" s="465" t="s">
        <v>18</v>
      </c>
      <c r="AO42" s="466">
        <f>161*0.915</f>
        <v>147.315</v>
      </c>
      <c r="AP42" s="466">
        <f>7*0.915</f>
        <v>6.4050000000000002</v>
      </c>
      <c r="AQ42" s="466">
        <f>17*0.915</f>
        <v>15.555</v>
      </c>
      <c r="AR42" s="466">
        <f>287*0.915</f>
        <v>262.60500000000002</v>
      </c>
      <c r="AS42" s="466"/>
      <c r="AT42" s="466">
        <f>161*0.915</f>
        <v>147.315</v>
      </c>
      <c r="AU42" s="466">
        <f>7*0.915</f>
        <v>6.4050000000000002</v>
      </c>
      <c r="AV42" s="466">
        <f>17*0.915</f>
        <v>15.555</v>
      </c>
      <c r="AW42" s="466">
        <f>287*0.915</f>
        <v>262.60500000000002</v>
      </c>
      <c r="AX42" s="466"/>
      <c r="AY42" s="466">
        <f>137*0.915</f>
        <v>125.355</v>
      </c>
      <c r="AZ42" s="466">
        <f>6*0.915</f>
        <v>5.49</v>
      </c>
      <c r="BA42" s="466">
        <f>30*0.915</f>
        <v>27.450000000000003</v>
      </c>
      <c r="BB42" s="466">
        <f>260*0.915</f>
        <v>237.9</v>
      </c>
      <c r="BC42" s="466"/>
      <c r="BD42" s="466">
        <f>110*0.915</f>
        <v>100.65</v>
      </c>
      <c r="BE42" s="466">
        <f>5*0.915</f>
        <v>4.5750000000000002</v>
      </c>
      <c r="BF42" s="466">
        <f>11*0.915</f>
        <v>10.065000000000001</v>
      </c>
      <c r="BG42" s="466">
        <f>134*0.915</f>
        <v>122.61</v>
      </c>
      <c r="BH42" s="466"/>
      <c r="BI42" s="466">
        <f>161*0.915</f>
        <v>147.315</v>
      </c>
      <c r="BJ42" s="466">
        <f>7*0.915</f>
        <v>6.4050000000000002</v>
      </c>
      <c r="BK42" s="466">
        <f>17*0.915</f>
        <v>15.555</v>
      </c>
      <c r="BL42" s="466">
        <f>287*0.915</f>
        <v>262.60500000000002</v>
      </c>
      <c r="BM42" s="466"/>
      <c r="BN42" s="466">
        <f>137*0.915</f>
        <v>125.355</v>
      </c>
      <c r="BO42" s="466">
        <f>6*0.915</f>
        <v>5.49</v>
      </c>
      <c r="BP42" s="466">
        <f>15*0.915</f>
        <v>13.725000000000001</v>
      </c>
      <c r="BQ42" s="466">
        <f>260*0.915</f>
        <v>237.9</v>
      </c>
      <c r="BR42" s="466"/>
      <c r="BS42" s="466">
        <f>137*0.915</f>
        <v>125.355</v>
      </c>
      <c r="BT42" s="466">
        <f>6*0.915</f>
        <v>5.49</v>
      </c>
      <c r="BU42" s="466">
        <f>15*0.915</f>
        <v>13.725000000000001</v>
      </c>
      <c r="BV42" s="466">
        <f>260*0.915</f>
        <v>237.9</v>
      </c>
      <c r="BW42" s="466"/>
      <c r="BX42" s="466">
        <f>137*0.915</f>
        <v>125.355</v>
      </c>
      <c r="BY42" s="466">
        <f>6*0.915</f>
        <v>5.49</v>
      </c>
      <c r="BZ42" s="466">
        <f>15*0.915</f>
        <v>13.725000000000001</v>
      </c>
      <c r="CA42" s="466">
        <f>260*0.915</f>
        <v>237.9</v>
      </c>
      <c r="CB42" s="466"/>
      <c r="CC42" s="47"/>
      <c r="CD42" s="47"/>
      <c r="CE42" s="47"/>
      <c r="CF42" s="47"/>
      <c r="CG42" s="47"/>
      <c r="CH42" s="47"/>
      <c r="CI42" s="47"/>
      <c r="CJ42" s="47"/>
    </row>
    <row r="43" spans="1:99" ht="31.5" customHeight="1" outlineLevel="1" x14ac:dyDescent="0.35">
      <c r="B43" s="55"/>
      <c r="C43" s="55"/>
      <c r="D43" s="55"/>
      <c r="E43" s="55"/>
      <c r="F43" s="55"/>
      <c r="G43" s="55"/>
      <c r="H43" s="611"/>
      <c r="I43" s="611"/>
      <c r="J43" s="611"/>
      <c r="K43" s="611"/>
      <c r="L43" s="55"/>
      <c r="M43" s="55"/>
      <c r="N43" s="55"/>
      <c r="O43" s="55"/>
      <c r="P43" s="55"/>
      <c r="Q43" s="55"/>
      <c r="R43" s="55"/>
      <c r="S43" s="55"/>
      <c r="T43" s="55"/>
      <c r="U43" s="55"/>
      <c r="AK43" s="429"/>
      <c r="CC43" s="47"/>
      <c r="CD43" s="47"/>
      <c r="CE43" s="47"/>
      <c r="CF43" s="47"/>
      <c r="CG43" s="47"/>
      <c r="CH43" s="47"/>
      <c r="CI43" s="47"/>
      <c r="CJ43" s="47"/>
    </row>
    <row r="44" spans="1:99" ht="23.25" outlineLevel="1" x14ac:dyDescent="0.35">
      <c r="A44" s="439" t="s">
        <v>48</v>
      </c>
      <c r="B44" s="305"/>
      <c r="C44" s="305"/>
      <c r="D44" s="305"/>
      <c r="E44" s="305"/>
      <c r="F44" s="305"/>
      <c r="G44" s="306"/>
      <c r="H44" s="611"/>
      <c r="I44" s="611"/>
      <c r="J44" s="611"/>
      <c r="K44" s="611"/>
      <c r="L44" s="69"/>
      <c r="M44" s="69"/>
      <c r="N44" s="69"/>
      <c r="O44" s="69"/>
      <c r="P44" s="69"/>
      <c r="Q44" s="69"/>
      <c r="R44" s="69"/>
      <c r="S44" s="69"/>
      <c r="T44" s="69"/>
      <c r="U44" s="69"/>
      <c r="V44" s="69"/>
      <c r="W44" s="69"/>
      <c r="X44" s="69"/>
      <c r="Y44" s="69"/>
      <c r="AK44" s="429"/>
      <c r="AN44" s="69"/>
      <c r="AO44" s="69"/>
      <c r="AP44" s="69"/>
      <c r="AQ44" s="69"/>
      <c r="AR44" s="69"/>
      <c r="AS44" s="69"/>
      <c r="AT44" s="69"/>
      <c r="BA44" s="54"/>
      <c r="BB44" s="346"/>
      <c r="BC44" s="346"/>
      <c r="BD44" s="346"/>
      <c r="BE44" s="346"/>
      <c r="BF44" s="346"/>
      <c r="BG44" s="346"/>
      <c r="BH44" s="346"/>
      <c r="BI44" s="346"/>
      <c r="BJ44" s="346"/>
      <c r="BK44" s="346"/>
      <c r="BL44" s="346"/>
      <c r="BM44" s="346"/>
      <c r="BN44" s="346"/>
      <c r="BO44" s="346"/>
      <c r="BP44" s="346"/>
      <c r="BQ44" s="346"/>
      <c r="BR44" s="346"/>
      <c r="BS44" s="346"/>
      <c r="BT44" s="346"/>
      <c r="BU44" s="346"/>
      <c r="BV44" s="346"/>
      <c r="BW44" s="346"/>
      <c r="BX44" s="346"/>
      <c r="BY44" s="346"/>
      <c r="BZ44" s="346"/>
      <c r="CA44" s="346"/>
      <c r="CB44" s="346"/>
      <c r="CC44" s="346"/>
      <c r="CD44" s="346"/>
      <c r="CE44" s="346"/>
      <c r="CF44" s="346"/>
      <c r="CG44" s="346"/>
      <c r="CH44" s="346"/>
      <c r="CI44" s="346"/>
      <c r="CJ44" s="346"/>
    </row>
    <row r="45" spans="1:99" ht="24.6" customHeight="1" outlineLevel="1" x14ac:dyDescent="0.35">
      <c r="A45" s="570" t="s">
        <v>162</v>
      </c>
      <c r="B45" s="571"/>
      <c r="C45" s="571"/>
      <c r="D45" s="571"/>
      <c r="E45" s="571"/>
      <c r="F45" s="571"/>
      <c r="G45" s="572"/>
      <c r="H45" s="611"/>
      <c r="I45" s="611"/>
      <c r="J45" s="611"/>
      <c r="K45" s="611"/>
      <c r="L45" s="71"/>
      <c r="M45" s="71"/>
      <c r="N45" s="71"/>
      <c r="O45" s="71"/>
      <c r="P45" s="71"/>
      <c r="Q45" s="71"/>
      <c r="R45" s="71"/>
      <c r="S45" s="71"/>
      <c r="T45" s="164"/>
      <c r="AK45" s="429"/>
      <c r="AT45" s="66"/>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54"/>
      <c r="CJ45" s="47"/>
    </row>
    <row r="46" spans="1:99" ht="24.6" customHeight="1" outlineLevel="1" x14ac:dyDescent="0.35">
      <c r="A46" s="615" t="s">
        <v>221</v>
      </c>
      <c r="B46" s="616"/>
      <c r="C46" s="616"/>
      <c r="D46" s="616"/>
      <c r="E46" s="616"/>
      <c r="F46" s="616"/>
      <c r="G46" s="617"/>
      <c r="H46" s="611"/>
      <c r="I46" s="611"/>
      <c r="J46" s="611"/>
      <c r="K46" s="611"/>
      <c r="L46" s="70"/>
      <c r="M46" s="70"/>
      <c r="N46" s="70"/>
      <c r="AK46" s="429"/>
      <c r="AT46" s="66"/>
      <c r="AU46" s="68"/>
      <c r="AV46" s="68"/>
      <c r="AW46" s="68"/>
      <c r="AX46" s="68"/>
      <c r="AY46" s="68"/>
      <c r="AZ46" s="68"/>
      <c r="BA46" s="68"/>
      <c r="BB46" s="68"/>
      <c r="BC46" s="68"/>
      <c r="BD46" s="68"/>
      <c r="BE46" s="68"/>
      <c r="BF46" s="275"/>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54"/>
      <c r="CJ46" s="47"/>
    </row>
    <row r="47" spans="1:99" ht="23.25" x14ac:dyDescent="0.35">
      <c r="A47" s="612" t="s">
        <v>295</v>
      </c>
      <c r="B47" s="613"/>
      <c r="C47" s="613"/>
      <c r="D47" s="613"/>
      <c r="E47" s="613"/>
      <c r="F47" s="613"/>
      <c r="G47" s="614"/>
      <c r="H47" s="55"/>
      <c r="I47" s="55"/>
      <c r="J47" s="55"/>
      <c r="K47" s="55"/>
      <c r="AK47" s="429"/>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47"/>
    </row>
    <row r="48" spans="1:99" x14ac:dyDescent="0.25">
      <c r="AK48" s="429"/>
      <c r="CC48" s="47"/>
      <c r="CD48" s="47"/>
      <c r="CE48" s="47"/>
      <c r="CF48" s="47"/>
      <c r="CG48" s="47"/>
      <c r="CH48" s="47"/>
      <c r="CI48" s="47"/>
      <c r="CJ48" s="47"/>
    </row>
    <row r="49" spans="1:132" ht="47.25" customHeight="1" x14ac:dyDescent="0.35">
      <c r="A49" s="604" t="s">
        <v>334</v>
      </c>
      <c r="B49" s="605"/>
      <c r="C49" s="605"/>
      <c r="D49" s="605"/>
      <c r="E49" s="605"/>
      <c r="F49" s="605"/>
      <c r="G49" s="605"/>
      <c r="H49" s="605"/>
      <c r="I49" s="605"/>
      <c r="J49" s="605"/>
      <c r="K49" s="605"/>
      <c r="L49" s="57"/>
      <c r="M49" s="57"/>
      <c r="N49" s="57"/>
      <c r="O49" s="57"/>
      <c r="P49" s="57"/>
      <c r="Q49" s="57"/>
      <c r="R49" s="57"/>
      <c r="S49" s="57"/>
      <c r="T49" s="57"/>
      <c r="U49" s="57"/>
      <c r="V49" s="57"/>
      <c r="W49" s="57"/>
      <c r="X49" s="57"/>
      <c r="Y49" s="57"/>
      <c r="AK49" s="429"/>
      <c r="AN49" s="57"/>
      <c r="AO49" s="57"/>
      <c r="AP49" s="57"/>
      <c r="AQ49" s="57"/>
      <c r="AR49" s="57"/>
      <c r="AS49" s="58"/>
      <c r="AT49" s="58"/>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row>
    <row r="50" spans="1:132" ht="23.25" x14ac:dyDescent="0.35">
      <c r="A50" s="437"/>
      <c r="B50" s="59"/>
      <c r="C50" s="59"/>
      <c r="D50" s="59"/>
      <c r="E50" s="60"/>
      <c r="F50" s="60"/>
      <c r="G50" s="60"/>
      <c r="H50" s="60"/>
      <c r="I50" s="60"/>
      <c r="J50" s="60"/>
      <c r="K50" s="60"/>
      <c r="L50" s="60"/>
      <c r="M50" s="60"/>
      <c r="N50" s="60"/>
      <c r="O50" s="60"/>
      <c r="P50" s="60"/>
      <c r="Q50" s="60"/>
      <c r="R50" s="60"/>
      <c r="S50" s="60"/>
      <c r="T50" s="60"/>
      <c r="U50" s="60"/>
      <c r="V50" s="60"/>
      <c r="W50" s="60"/>
      <c r="X50" s="60"/>
      <c r="Y50" s="60"/>
      <c r="AK50" s="429"/>
      <c r="AN50" s="60"/>
      <c r="AO50" s="60"/>
      <c r="AP50" s="60"/>
      <c r="AQ50" s="60"/>
      <c r="AR50" s="60"/>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row>
    <row r="51" spans="1:132" ht="23.25" x14ac:dyDescent="0.35">
      <c r="B51" s="224" t="s">
        <v>8</v>
      </c>
      <c r="C51" s="190" t="s">
        <v>192</v>
      </c>
      <c r="D51" s="185">
        <v>2019</v>
      </c>
      <c r="E51" s="191">
        <v>2020</v>
      </c>
      <c r="F51" s="55"/>
      <c r="G51" s="55"/>
      <c r="H51" s="55"/>
      <c r="I51" s="55"/>
      <c r="J51" s="55"/>
      <c r="K51" s="55"/>
      <c r="L51" s="55"/>
      <c r="M51" s="55"/>
      <c r="N51" s="55"/>
      <c r="O51" s="55"/>
      <c r="P51" s="55"/>
      <c r="Q51" s="55"/>
      <c r="R51" s="55"/>
      <c r="S51" s="55"/>
      <c r="T51" s="55"/>
      <c r="U51" s="55"/>
      <c r="V51" s="55"/>
      <c r="W51" s="55"/>
      <c r="X51" s="55"/>
      <c r="Y51" s="55"/>
      <c r="AK51" s="429"/>
      <c r="AN51" s="55"/>
      <c r="AO51" s="55"/>
      <c r="AP51" s="55"/>
      <c r="AQ51" s="6"/>
      <c r="AR51" s="6"/>
      <c r="AS51" s="6"/>
      <c r="AT51" s="347"/>
      <c r="AU51" s="347"/>
      <c r="AV51" s="347"/>
      <c r="AW51" s="347"/>
      <c r="AX51" s="347"/>
      <c r="AY51" s="347"/>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row>
    <row r="52" spans="1:132" ht="23.25" customHeight="1" x14ac:dyDescent="0.35">
      <c r="A52" s="436"/>
      <c r="B52" s="186" t="s">
        <v>25</v>
      </c>
      <c r="C52" s="187">
        <f>'Lh Budgetting'!O14</f>
        <v>56475000</v>
      </c>
      <c r="D52" s="188">
        <f>'Lh Budgetting'!P14</f>
        <v>56475000</v>
      </c>
      <c r="E52" s="192">
        <f>'Lh Budgetting'!Q14</f>
        <v>56475000</v>
      </c>
      <c r="F52" s="55"/>
      <c r="G52" s="55"/>
      <c r="H52" s="55"/>
      <c r="I52" s="55"/>
      <c r="J52" s="55"/>
      <c r="K52" s="55"/>
      <c r="L52" s="55"/>
      <c r="M52" s="55"/>
      <c r="N52" s="55"/>
      <c r="O52" s="55"/>
      <c r="P52" s="55"/>
      <c r="Q52" s="55"/>
      <c r="R52" s="55"/>
      <c r="S52" s="55"/>
      <c r="T52" s="55"/>
      <c r="U52" s="55"/>
      <c r="V52" s="55"/>
      <c r="W52" s="55"/>
      <c r="X52" s="55"/>
      <c r="Y52" s="55"/>
      <c r="AK52" s="429"/>
      <c r="CC52" s="6"/>
      <c r="CD52" s="6"/>
      <c r="CE52" s="6"/>
      <c r="CF52" s="6"/>
      <c r="CG52" s="6"/>
      <c r="CH52" s="6"/>
      <c r="CI52" s="6"/>
      <c r="CJ52" s="6"/>
    </row>
    <row r="53" spans="1:132" ht="23.25" customHeight="1" x14ac:dyDescent="0.35">
      <c r="B53" s="132" t="s">
        <v>23</v>
      </c>
      <c r="C53" s="62">
        <v>0.3</v>
      </c>
      <c r="D53" s="63">
        <v>0.3</v>
      </c>
      <c r="E53" s="223">
        <v>0.3</v>
      </c>
      <c r="F53" s="55"/>
      <c r="G53" s="55"/>
      <c r="H53" s="55"/>
      <c r="I53" s="55"/>
      <c r="J53" s="55"/>
      <c r="K53" s="55"/>
      <c r="L53" s="55"/>
      <c r="M53" s="55"/>
      <c r="N53" s="55"/>
      <c r="O53" s="55"/>
      <c r="P53" s="55"/>
      <c r="Q53" s="55"/>
      <c r="R53" s="55"/>
      <c r="S53" s="55"/>
      <c r="T53" s="55"/>
      <c r="U53" s="55"/>
      <c r="V53" s="55"/>
      <c r="W53" s="55"/>
      <c r="X53" s="55"/>
      <c r="Y53" s="55"/>
      <c r="AK53" s="429"/>
      <c r="CC53" s="6"/>
      <c r="CD53" s="6"/>
      <c r="CE53" s="6"/>
      <c r="CF53" s="6"/>
      <c r="CG53" s="6"/>
      <c r="CH53" s="6"/>
      <c r="CI53" s="6"/>
      <c r="CJ53" s="6"/>
      <c r="CK53" s="347"/>
      <c r="CL53" s="347"/>
      <c r="CM53" s="347"/>
      <c r="CN53" s="347"/>
      <c r="CO53" s="347"/>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row>
    <row r="54" spans="1:132" ht="23.25" customHeight="1" x14ac:dyDescent="0.35">
      <c r="B54" s="132" t="s">
        <v>24</v>
      </c>
      <c r="C54" s="62">
        <v>0.7</v>
      </c>
      <c r="D54" s="63">
        <v>0.7</v>
      </c>
      <c r="E54" s="223">
        <v>0.7</v>
      </c>
      <c r="F54" s="55"/>
      <c r="G54" s="55"/>
      <c r="H54" s="55"/>
      <c r="I54" s="55"/>
      <c r="J54" s="55"/>
      <c r="K54" s="55"/>
      <c r="L54" s="55"/>
      <c r="M54" s="55"/>
      <c r="N54" s="55"/>
      <c r="O54" s="55"/>
      <c r="P54" s="55"/>
      <c r="Q54" s="55"/>
      <c r="R54" s="55"/>
      <c r="S54" s="55"/>
      <c r="T54" s="55"/>
      <c r="U54" s="55"/>
      <c r="V54" s="55"/>
      <c r="W54" s="55"/>
      <c r="X54" s="55"/>
      <c r="Y54" s="55"/>
      <c r="AK54" s="429"/>
      <c r="CC54" s="6"/>
      <c r="CD54" s="6"/>
      <c r="CE54" s="6"/>
      <c r="CF54" s="6"/>
      <c r="CG54" s="6"/>
      <c r="CH54" s="6"/>
      <c r="CI54" s="6"/>
      <c r="CJ54" s="6"/>
      <c r="CK54" s="6"/>
      <c r="CL54" s="6"/>
      <c r="CM54" s="6"/>
      <c r="CN54" s="347"/>
      <c r="CO54" s="347"/>
      <c r="CP54" s="347"/>
      <c r="CQ54" s="347"/>
      <c r="CR54" s="347"/>
      <c r="CS54" s="347"/>
      <c r="CT54" s="347"/>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row>
    <row r="55" spans="1:132" ht="23.25" x14ac:dyDescent="0.35">
      <c r="D55" s="55"/>
      <c r="E55" s="55"/>
      <c r="F55" s="55"/>
      <c r="G55" s="55"/>
      <c r="H55" s="55"/>
      <c r="I55" s="55"/>
      <c r="J55" s="55"/>
      <c r="K55" s="55"/>
      <c r="L55" s="55"/>
      <c r="M55" s="55"/>
      <c r="N55" s="55"/>
      <c r="O55" s="55"/>
      <c r="P55" s="55"/>
      <c r="Q55" s="55"/>
      <c r="R55" s="55"/>
      <c r="S55" s="55"/>
      <c r="T55" s="55"/>
      <c r="U55" s="55"/>
      <c r="V55" s="55"/>
      <c r="AK55" s="429"/>
      <c r="AN55" s="55"/>
      <c r="AO55" s="55"/>
      <c r="AP55" s="55"/>
      <c r="AQ55" s="55"/>
      <c r="AR55" s="55"/>
      <c r="AS55" s="6"/>
      <c r="AT55" s="6"/>
      <c r="AU55" s="6"/>
      <c r="AV55" s="6"/>
      <c r="AW55" s="6"/>
      <c r="AX55" s="6"/>
      <c r="AY55" s="6"/>
      <c r="AZ55" s="61" t="s">
        <v>252</v>
      </c>
      <c r="BA55" s="347"/>
      <c r="BB55" s="347"/>
      <c r="BC55" s="347"/>
      <c r="BD55" s="347"/>
      <c r="BE55" s="347"/>
      <c r="BF55" s="347"/>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f>S60/251</f>
        <v>148500</v>
      </c>
      <c r="CL55" s="55">
        <v>67.5</v>
      </c>
      <c r="CM55" s="55">
        <v>2.25</v>
      </c>
      <c r="CN55" s="55">
        <v>5.25</v>
      </c>
      <c r="CO55" s="55">
        <v>75</v>
      </c>
      <c r="CP55" s="6">
        <v>148500</v>
      </c>
      <c r="CQ55" s="55">
        <v>67.5</v>
      </c>
      <c r="CR55" s="55">
        <v>2.25</v>
      </c>
      <c r="CS55" s="55">
        <v>5.25</v>
      </c>
      <c r="CT55" s="55">
        <v>75</v>
      </c>
      <c r="CU55" s="6">
        <v>148500</v>
      </c>
      <c r="CV55" s="55">
        <v>67.5</v>
      </c>
      <c r="CW55" s="55">
        <v>2.25</v>
      </c>
      <c r="CX55" s="55">
        <v>5.25</v>
      </c>
      <c r="CY55" s="55">
        <v>75</v>
      </c>
      <c r="CZ55" s="6">
        <v>148500</v>
      </c>
      <c r="DA55" s="55">
        <v>67.5</v>
      </c>
      <c r="DB55" s="55">
        <v>2.25</v>
      </c>
      <c r="DC55" s="55">
        <v>5.25</v>
      </c>
      <c r="DD55" s="55">
        <v>75</v>
      </c>
      <c r="DE55" s="6">
        <v>148500</v>
      </c>
      <c r="DF55" s="55">
        <v>67.5</v>
      </c>
      <c r="DG55" s="55">
        <v>2.25</v>
      </c>
      <c r="DH55" s="55">
        <v>5.25</v>
      </c>
      <c r="DI55" s="55">
        <v>75</v>
      </c>
      <c r="DJ55" s="6">
        <v>148500</v>
      </c>
      <c r="DK55" s="55">
        <v>67.5</v>
      </c>
      <c r="DL55" s="55">
        <v>4.5</v>
      </c>
      <c r="DM55" s="55">
        <v>10.5</v>
      </c>
      <c r="DN55" s="55">
        <v>75</v>
      </c>
      <c r="DO55" s="6">
        <v>148500</v>
      </c>
      <c r="DP55" s="55">
        <v>67.5</v>
      </c>
      <c r="DQ55" s="55">
        <v>2.25</v>
      </c>
      <c r="DR55" s="55">
        <v>5.25</v>
      </c>
      <c r="DS55" s="55">
        <v>75</v>
      </c>
      <c r="DT55" s="6">
        <v>148500</v>
      </c>
    </row>
    <row r="56" spans="1:132" ht="21" x14ac:dyDescent="0.35">
      <c r="A56" s="555" t="s">
        <v>118</v>
      </c>
      <c r="B56" s="556"/>
      <c r="C56" s="556"/>
      <c r="D56" s="556"/>
      <c r="E56" s="556"/>
      <c r="F56" s="556"/>
      <c r="G56" s="556"/>
      <c r="H56" s="544" t="s">
        <v>191</v>
      </c>
      <c r="I56" s="544"/>
      <c r="J56" s="544"/>
      <c r="K56" s="544"/>
      <c r="L56" s="544"/>
      <c r="M56" s="544"/>
      <c r="N56" s="546" t="s">
        <v>211</v>
      </c>
      <c r="O56" s="546"/>
      <c r="P56" s="546"/>
      <c r="Q56" s="546"/>
      <c r="R56" s="546"/>
      <c r="S56" s="546"/>
      <c r="T56" s="573" t="s">
        <v>231</v>
      </c>
      <c r="U56" s="573"/>
      <c r="V56" s="573"/>
      <c r="W56" s="573"/>
      <c r="X56" s="573"/>
      <c r="Y56" s="573"/>
      <c r="AK56" s="429"/>
      <c r="AO56" s="586" t="s">
        <v>10</v>
      </c>
      <c r="AP56" s="586"/>
      <c r="AQ56" s="586"/>
      <c r="AR56" s="586"/>
      <c r="AS56" s="586"/>
      <c r="AT56" s="463" t="s">
        <v>15</v>
      </c>
      <c r="AU56" s="463"/>
      <c r="AV56" s="463"/>
      <c r="AW56" s="463"/>
      <c r="AX56" s="463"/>
      <c r="AY56" s="463" t="s">
        <v>22</v>
      </c>
      <c r="AZ56" s="463"/>
      <c r="BA56" s="463"/>
      <c r="BB56" s="463"/>
      <c r="BC56" s="463"/>
      <c r="BD56" s="463" t="s">
        <v>12</v>
      </c>
      <c r="BE56" s="463"/>
      <c r="BF56" s="463"/>
      <c r="BG56" s="463"/>
      <c r="BH56" s="463"/>
      <c r="BI56" s="463" t="s">
        <v>13</v>
      </c>
      <c r="BJ56" s="463"/>
      <c r="BK56" s="463"/>
      <c r="BL56" s="463"/>
      <c r="BM56" s="463"/>
      <c r="BN56" s="463" t="s">
        <v>11</v>
      </c>
      <c r="BO56" s="463"/>
      <c r="BP56" s="463"/>
      <c r="BQ56" s="463"/>
      <c r="BR56" s="463"/>
      <c r="BS56" s="463" t="s">
        <v>16</v>
      </c>
      <c r="BT56" s="463"/>
      <c r="BU56" s="463"/>
      <c r="BV56" s="463"/>
      <c r="BW56" s="463"/>
      <c r="BX56" s="463" t="s">
        <v>14</v>
      </c>
      <c r="BY56" s="463"/>
      <c r="BZ56" s="463"/>
      <c r="CA56" s="463"/>
      <c r="CB56" s="463"/>
      <c r="CC56" s="47"/>
      <c r="CD56" s="47"/>
      <c r="CE56" s="47"/>
      <c r="CF56" s="47"/>
      <c r="CG56" s="47"/>
      <c r="CH56" s="47"/>
      <c r="CI56" s="47"/>
      <c r="CJ56" s="47"/>
    </row>
    <row r="57" spans="1:132" ht="29.25" customHeight="1" thickBot="1" x14ac:dyDescent="0.3">
      <c r="A57" s="430" t="s">
        <v>5</v>
      </c>
      <c r="B57" s="34" t="s">
        <v>7</v>
      </c>
      <c r="C57" s="34" t="s">
        <v>2</v>
      </c>
      <c r="D57" s="547" t="s">
        <v>46</v>
      </c>
      <c r="E57" s="547"/>
      <c r="F57" s="350" t="s">
        <v>9</v>
      </c>
      <c r="G57" s="350" t="s">
        <v>0</v>
      </c>
      <c r="H57" s="206" t="s">
        <v>348</v>
      </c>
      <c r="I57" s="29" t="s">
        <v>20</v>
      </c>
      <c r="J57" s="28" t="s">
        <v>28</v>
      </c>
      <c r="K57" s="29" t="s">
        <v>27</v>
      </c>
      <c r="L57" s="28" t="s">
        <v>21</v>
      </c>
      <c r="M57" s="29" t="s">
        <v>95</v>
      </c>
      <c r="N57" s="261" t="s">
        <v>297</v>
      </c>
      <c r="O57" s="37" t="s">
        <v>20</v>
      </c>
      <c r="P57" s="40" t="s">
        <v>28</v>
      </c>
      <c r="Q57" s="37" t="s">
        <v>27</v>
      </c>
      <c r="R57" s="40" t="s">
        <v>21</v>
      </c>
      <c r="S57" s="37" t="s">
        <v>95</v>
      </c>
      <c r="T57" s="261" t="s">
        <v>298</v>
      </c>
      <c r="U57" s="172" t="s">
        <v>20</v>
      </c>
      <c r="V57" s="171" t="s">
        <v>28</v>
      </c>
      <c r="W57" s="172" t="s">
        <v>27</v>
      </c>
      <c r="X57" s="40" t="s">
        <v>21</v>
      </c>
      <c r="Y57" s="172" t="s">
        <v>95</v>
      </c>
      <c r="AK57" s="429"/>
      <c r="AO57" s="454" t="s">
        <v>20</v>
      </c>
      <c r="AP57" s="454" t="s">
        <v>28</v>
      </c>
      <c r="AQ57" s="454" t="s">
        <v>27</v>
      </c>
      <c r="AR57" s="454" t="s">
        <v>21</v>
      </c>
      <c r="AS57" s="454" t="s">
        <v>96</v>
      </c>
      <c r="AT57" s="454" t="s">
        <v>20</v>
      </c>
      <c r="AU57" s="454" t="s">
        <v>28</v>
      </c>
      <c r="AV57" s="454" t="s">
        <v>27</v>
      </c>
      <c r="AW57" s="454" t="s">
        <v>21</v>
      </c>
      <c r="AX57" s="454" t="s">
        <v>96</v>
      </c>
      <c r="AY57" s="454" t="s">
        <v>20</v>
      </c>
      <c r="AZ57" s="454" t="s">
        <v>28</v>
      </c>
      <c r="BA57" s="454" t="s">
        <v>27</v>
      </c>
      <c r="BB57" s="454" t="s">
        <v>21</v>
      </c>
      <c r="BC57" s="454" t="s">
        <v>96</v>
      </c>
      <c r="BD57" s="454" t="s">
        <v>20</v>
      </c>
      <c r="BE57" s="454" t="s">
        <v>28</v>
      </c>
      <c r="BF57" s="454" t="s">
        <v>27</v>
      </c>
      <c r="BG57" s="454" t="s">
        <v>21</v>
      </c>
      <c r="BH57" s="454" t="s">
        <v>96</v>
      </c>
      <c r="BI57" s="454" t="s">
        <v>20</v>
      </c>
      <c r="BJ57" s="454" t="s">
        <v>28</v>
      </c>
      <c r="BK57" s="454" t="s">
        <v>27</v>
      </c>
      <c r="BL57" s="454" t="s">
        <v>21</v>
      </c>
      <c r="BM57" s="454" t="s">
        <v>96</v>
      </c>
      <c r="BN57" s="454" t="s">
        <v>20</v>
      </c>
      <c r="BO57" s="454" t="s">
        <v>28</v>
      </c>
      <c r="BP57" s="454" t="s">
        <v>27</v>
      </c>
      <c r="BQ57" s="454" t="s">
        <v>21</v>
      </c>
      <c r="BR57" s="454" t="s">
        <v>96</v>
      </c>
      <c r="BS57" s="454" t="s">
        <v>20</v>
      </c>
      <c r="BT57" s="454" t="s">
        <v>28</v>
      </c>
      <c r="BU57" s="454" t="s">
        <v>27</v>
      </c>
      <c r="BV57" s="454" t="s">
        <v>21</v>
      </c>
      <c r="BW57" s="454" t="s">
        <v>96</v>
      </c>
      <c r="BX57" s="454" t="s">
        <v>20</v>
      </c>
      <c r="BY57" s="454" t="s">
        <v>28</v>
      </c>
      <c r="BZ57" s="454" t="s">
        <v>27</v>
      </c>
      <c r="CA57" s="454" t="s">
        <v>21</v>
      </c>
      <c r="CB57" s="454" t="s">
        <v>96</v>
      </c>
      <c r="CC57" s="47"/>
      <c r="CD57" s="47"/>
      <c r="CE57" s="47"/>
      <c r="CF57" s="47"/>
      <c r="CG57" s="47"/>
      <c r="CH57" s="47"/>
      <c r="CI57" s="47"/>
      <c r="CJ57" s="47"/>
    </row>
    <row r="58" spans="1:132" ht="74.25" customHeight="1" x14ac:dyDescent="0.25">
      <c r="A58" s="431" t="s">
        <v>17</v>
      </c>
      <c r="B58" s="8" t="s">
        <v>160</v>
      </c>
      <c r="C58" s="8" t="s">
        <v>181</v>
      </c>
      <c r="D58" s="548" t="s">
        <v>199</v>
      </c>
      <c r="E58" s="548"/>
      <c r="F58" s="8" t="s">
        <v>93</v>
      </c>
      <c r="G58" s="8" t="s">
        <v>94</v>
      </c>
      <c r="H58" s="329" t="s">
        <v>350</v>
      </c>
      <c r="I58" s="203">
        <f>'Lh Budgetting'!T14</f>
        <v>16943</v>
      </c>
      <c r="J58" s="204">
        <f>'Lh Budgetting'!V14</f>
        <v>565</v>
      </c>
      <c r="K58" s="203">
        <f>'Lh Budgetting'!U14</f>
        <v>1318</v>
      </c>
      <c r="L58" s="204">
        <f>'Lh Budgetting'!S14</f>
        <v>18825</v>
      </c>
      <c r="M58" s="203">
        <v>251</v>
      </c>
      <c r="N58" s="270">
        <f>SUM(I58:L58)</f>
        <v>37651</v>
      </c>
      <c r="O58" s="202">
        <f>'Lh Budgetting'!AB14</f>
        <v>16943</v>
      </c>
      <c r="P58" s="267">
        <f>'Lh Budgetting'!AD14</f>
        <v>565</v>
      </c>
      <c r="Q58" s="202">
        <f>'Lh Budgetting'!AC14</f>
        <v>1318</v>
      </c>
      <c r="R58" s="267">
        <f>'Lh Budgetting'!AA14</f>
        <v>18825</v>
      </c>
      <c r="S58" s="202">
        <v>251</v>
      </c>
      <c r="T58" s="270">
        <f>SUM(O58:R58)</f>
        <v>37651</v>
      </c>
      <c r="U58" s="268">
        <f>'Lh Budgetting'!AH14</f>
        <v>16943</v>
      </c>
      <c r="V58" s="269">
        <f>'Lh Budgetting'!AJ14</f>
        <v>565</v>
      </c>
      <c r="W58" s="268">
        <f>'Lh Budgetting'!AI14</f>
        <v>1318</v>
      </c>
      <c r="X58" s="269">
        <f>'Lh Budgetting'!AG14</f>
        <v>18825</v>
      </c>
      <c r="Y58" s="268">
        <v>251</v>
      </c>
      <c r="AK58" s="429"/>
      <c r="AN58" s="66" t="s">
        <v>17</v>
      </c>
      <c r="AO58" s="464"/>
      <c r="AP58" s="464"/>
      <c r="AQ58" s="464"/>
      <c r="AR58" s="464"/>
      <c r="AS58" s="464">
        <v>32</v>
      </c>
      <c r="AT58" s="464"/>
      <c r="AU58" s="464"/>
      <c r="AV58" s="464"/>
      <c r="AW58" s="464"/>
      <c r="AX58" s="464">
        <v>33</v>
      </c>
      <c r="AY58" s="464"/>
      <c r="AZ58" s="464"/>
      <c r="BA58" s="464"/>
      <c r="BB58" s="464"/>
      <c r="BC58" s="464">
        <v>46</v>
      </c>
      <c r="BD58" s="464"/>
      <c r="BE58" s="464"/>
      <c r="BF58" s="464"/>
      <c r="BG58" s="464"/>
      <c r="BH58" s="464">
        <v>6</v>
      </c>
      <c r="BI58" s="464"/>
      <c r="BJ58" s="464"/>
      <c r="BK58" s="464"/>
      <c r="BL58" s="464"/>
      <c r="BM58" s="464">
        <v>39</v>
      </c>
      <c r="BN58" s="464"/>
      <c r="BO58" s="464"/>
      <c r="BP58" s="464"/>
      <c r="BQ58" s="464"/>
      <c r="BR58" s="464">
        <v>26</v>
      </c>
      <c r="BS58" s="464"/>
      <c r="BT58" s="464"/>
      <c r="BU58" s="464"/>
      <c r="BV58" s="464"/>
      <c r="BW58" s="464">
        <v>39</v>
      </c>
      <c r="BX58" s="464"/>
      <c r="BY58" s="464"/>
      <c r="BZ58" s="464"/>
      <c r="CA58" s="464"/>
      <c r="CB58" s="464">
        <v>30</v>
      </c>
      <c r="CC58" s="47"/>
      <c r="CD58" s="47"/>
      <c r="CE58" s="47"/>
      <c r="CF58" s="47"/>
      <c r="CG58" s="47"/>
      <c r="CH58" s="47"/>
      <c r="CI58" s="47"/>
      <c r="CJ58" s="47"/>
    </row>
    <row r="59" spans="1:132" ht="54" customHeight="1" x14ac:dyDescent="0.25">
      <c r="A59" s="433" t="s">
        <v>18</v>
      </c>
      <c r="B59" s="9" t="s">
        <v>180</v>
      </c>
      <c r="C59" s="9" t="s">
        <v>182</v>
      </c>
      <c r="D59" s="584" t="s">
        <v>199</v>
      </c>
      <c r="E59" s="585"/>
      <c r="F59" s="9" t="s">
        <v>93</v>
      </c>
      <c r="G59" s="9" t="s">
        <v>94</v>
      </c>
      <c r="H59" s="271">
        <v>83959</v>
      </c>
      <c r="I59" s="35">
        <f>I58*30</f>
        <v>508290</v>
      </c>
      <c r="J59" s="36">
        <f>J58*30</f>
        <v>16950</v>
      </c>
      <c r="K59" s="35">
        <f>K58*30</f>
        <v>39540</v>
      </c>
      <c r="L59" s="36">
        <f>L58*30</f>
        <v>564750</v>
      </c>
      <c r="M59" s="35">
        <v>251</v>
      </c>
      <c r="N59" s="270">
        <f>SUM(I59:L59)</f>
        <v>1129530</v>
      </c>
      <c r="O59" s="38">
        <f>30*O58</f>
        <v>508290</v>
      </c>
      <c r="P59" s="42">
        <f t="shared" ref="P59:R59" si="0">30*P58</f>
        <v>16950</v>
      </c>
      <c r="Q59" s="38">
        <f t="shared" si="0"/>
        <v>39540</v>
      </c>
      <c r="R59" s="42">
        <f t="shared" si="0"/>
        <v>564750</v>
      </c>
      <c r="S59" s="38">
        <v>251</v>
      </c>
      <c r="T59" s="270">
        <f>SUM(O59:R59)</f>
        <v>1129530</v>
      </c>
      <c r="U59" s="174">
        <f>30*U58</f>
        <v>508290</v>
      </c>
      <c r="V59" s="165">
        <f t="shared" ref="V59:X59" si="1">30*V58</f>
        <v>16950</v>
      </c>
      <c r="W59" s="174">
        <f t="shared" si="1"/>
        <v>39540</v>
      </c>
      <c r="X59" s="165">
        <f t="shared" si="1"/>
        <v>564750</v>
      </c>
      <c r="Y59" s="174">
        <v>251</v>
      </c>
      <c r="AK59" s="429"/>
      <c r="AN59" s="465" t="s">
        <v>18</v>
      </c>
      <c r="AO59" s="466" t="e">
        <f>AS58*#REF!</f>
        <v>#REF!</v>
      </c>
      <c r="AP59" s="466"/>
      <c r="AQ59" s="466"/>
      <c r="AR59" s="466" t="e">
        <f>AS58*#REF!</f>
        <v>#REF!</v>
      </c>
      <c r="AS59" s="466"/>
      <c r="AT59" s="466">
        <f>AX58*CL55</f>
        <v>2227.5</v>
      </c>
      <c r="AU59" s="466">
        <f>AX58*CM55</f>
        <v>74.25</v>
      </c>
      <c r="AV59" s="466">
        <f>AX58*CN55</f>
        <v>173.25</v>
      </c>
      <c r="AW59" s="466">
        <f>AX58*CO55</f>
        <v>2475</v>
      </c>
      <c r="AX59" s="466"/>
      <c r="AY59" s="466">
        <f>BC58*CQ55</f>
        <v>3105</v>
      </c>
      <c r="AZ59" s="466">
        <f>BC58*CR55</f>
        <v>103.5</v>
      </c>
      <c r="BA59" s="466">
        <f>BC58*CS55</f>
        <v>241.5</v>
      </c>
      <c r="BB59" s="466">
        <f>BC58*CT55</f>
        <v>3450</v>
      </c>
      <c r="BC59" s="466"/>
      <c r="BD59" s="466">
        <f>BH58*CV55</f>
        <v>405</v>
      </c>
      <c r="BE59" s="466">
        <f>BH58*CW55</f>
        <v>13.5</v>
      </c>
      <c r="BF59" s="466">
        <f>BH58*CX55</f>
        <v>31.5</v>
      </c>
      <c r="BG59" s="466">
        <f>BH58*CY55</f>
        <v>450</v>
      </c>
      <c r="BH59" s="466"/>
      <c r="BI59" s="466">
        <f>BM58*DA55</f>
        <v>2632.5</v>
      </c>
      <c r="BJ59" s="466">
        <f>BM58*DB55</f>
        <v>87.75</v>
      </c>
      <c r="BK59" s="466">
        <f>BM58*DC55</f>
        <v>204.75</v>
      </c>
      <c r="BL59" s="466">
        <f>BM58*DD55</f>
        <v>2925</v>
      </c>
      <c r="BM59" s="466"/>
      <c r="BN59" s="466">
        <f>BR58*DF55</f>
        <v>1755</v>
      </c>
      <c r="BO59" s="466">
        <f>BR58*DG55</f>
        <v>58.5</v>
      </c>
      <c r="BP59" s="466">
        <f>BR58*DH55</f>
        <v>136.5</v>
      </c>
      <c r="BQ59" s="466">
        <f>BR58*DI55</f>
        <v>1950</v>
      </c>
      <c r="BR59" s="466"/>
      <c r="BS59" s="466">
        <f>BW58*DK55</f>
        <v>2632.5</v>
      </c>
      <c r="BT59" s="466">
        <f>BW58*DL55</f>
        <v>175.5</v>
      </c>
      <c r="BU59" s="466">
        <f>BW58*DM55</f>
        <v>409.5</v>
      </c>
      <c r="BV59" s="466">
        <f>BW58*DN55</f>
        <v>2925</v>
      </c>
      <c r="BW59" s="466"/>
      <c r="BX59" s="466">
        <f>CB58*DP55</f>
        <v>2025</v>
      </c>
      <c r="BY59" s="466">
        <f>CB58*DQ55</f>
        <v>67.5</v>
      </c>
      <c r="BZ59" s="466">
        <f>CB58*DR55</f>
        <v>157.5</v>
      </c>
      <c r="CA59" s="466">
        <f>CB58*DS55</f>
        <v>2250</v>
      </c>
      <c r="CB59" s="466"/>
      <c r="CC59" s="47"/>
      <c r="CD59" s="47"/>
      <c r="CE59" s="47"/>
      <c r="CF59" s="47"/>
      <c r="CG59" s="47"/>
      <c r="CH59" s="47"/>
      <c r="CI59" s="47"/>
      <c r="CJ59" s="47"/>
    </row>
    <row r="60" spans="1:132" s="103" customFormat="1" ht="54" customHeight="1" x14ac:dyDescent="0.25">
      <c r="A60" s="438" t="s">
        <v>19</v>
      </c>
      <c r="B60" s="10" t="s">
        <v>236</v>
      </c>
      <c r="C60" s="10" t="s">
        <v>237</v>
      </c>
      <c r="D60" s="606" t="s">
        <v>199</v>
      </c>
      <c r="E60" s="607"/>
      <c r="F60" s="10" t="s">
        <v>238</v>
      </c>
      <c r="G60" s="10" t="s">
        <v>94</v>
      </c>
      <c r="H60" s="271">
        <v>2362127</v>
      </c>
      <c r="I60" s="608"/>
      <c r="J60" s="609"/>
      <c r="K60" s="609"/>
      <c r="L60" s="610"/>
      <c r="M60" s="35">
        <f>0.66*C52</f>
        <v>37273500</v>
      </c>
      <c r="N60" s="272">
        <f>M60</f>
        <v>37273500</v>
      </c>
      <c r="O60" s="597"/>
      <c r="P60" s="598"/>
      <c r="Q60" s="598"/>
      <c r="R60" s="599"/>
      <c r="S60" s="273">
        <f>0.66*D52</f>
        <v>37273500</v>
      </c>
      <c r="T60" s="272">
        <f>S60</f>
        <v>37273500</v>
      </c>
      <c r="U60" s="600"/>
      <c r="V60" s="601"/>
      <c r="W60" s="601"/>
      <c r="X60" s="602"/>
      <c r="Y60" s="274">
        <f>0.66*E52</f>
        <v>37273500</v>
      </c>
      <c r="Z60" s="54"/>
      <c r="AA60" s="54"/>
      <c r="AB60" s="54"/>
      <c r="AC60" s="54"/>
      <c r="AD60" s="54"/>
      <c r="AE60" s="54"/>
      <c r="AF60" s="54"/>
      <c r="AG60" s="54"/>
      <c r="AH60" s="54"/>
      <c r="AI60" s="54"/>
      <c r="AJ60" s="54"/>
      <c r="AK60" s="440"/>
      <c r="AL60" s="54"/>
      <c r="AM60" s="54"/>
      <c r="AN60" s="467" t="s">
        <v>19</v>
      </c>
      <c r="AO60" s="468"/>
      <c r="AP60" s="468"/>
      <c r="AQ60" s="468"/>
      <c r="AR60" s="468"/>
      <c r="AS60" s="468">
        <f>CK55*AS58</f>
        <v>4752000</v>
      </c>
      <c r="AT60" s="468"/>
      <c r="AU60" s="468"/>
      <c r="AV60" s="468"/>
      <c r="AW60" s="468"/>
      <c r="AX60" s="468">
        <f>AX58*CP55</f>
        <v>4900500</v>
      </c>
      <c r="AY60" s="468"/>
      <c r="AZ60" s="468"/>
      <c r="BA60" s="468"/>
      <c r="BB60" s="468"/>
      <c r="BC60" s="468">
        <f>BC58*CU55</f>
        <v>6831000</v>
      </c>
      <c r="BD60" s="468"/>
      <c r="BE60" s="468"/>
      <c r="BF60" s="468"/>
      <c r="BG60" s="468"/>
      <c r="BH60" s="468">
        <f>BH58*CZ55</f>
        <v>891000</v>
      </c>
      <c r="BI60" s="468"/>
      <c r="BJ60" s="468"/>
      <c r="BK60" s="468"/>
      <c r="BL60" s="468"/>
      <c r="BM60" s="468">
        <f>BM58*DE55</f>
        <v>5791500</v>
      </c>
      <c r="BN60" s="468"/>
      <c r="BO60" s="468"/>
      <c r="BP60" s="468"/>
      <c r="BQ60" s="468"/>
      <c r="BR60" s="468">
        <f>BR58*DJ55</f>
        <v>3861000</v>
      </c>
      <c r="BS60" s="468"/>
      <c r="BT60" s="468"/>
      <c r="BU60" s="468"/>
      <c r="BV60" s="468"/>
      <c r="BW60" s="468">
        <f>BW58*DO55</f>
        <v>5791500</v>
      </c>
      <c r="BX60" s="468"/>
      <c r="BY60" s="468"/>
      <c r="BZ60" s="468"/>
      <c r="CA60" s="468"/>
      <c r="CB60" s="468">
        <f>CB58*DT55</f>
        <v>4455000</v>
      </c>
      <c r="CC60" s="47"/>
      <c r="CD60" s="47"/>
      <c r="CE60" s="47"/>
      <c r="CF60" s="47"/>
      <c r="CG60" s="47"/>
      <c r="CH60" s="47"/>
      <c r="CI60" s="47"/>
      <c r="CJ60" s="54"/>
    </row>
    <row r="61" spans="1:132" ht="23.25" x14ac:dyDescent="0.35">
      <c r="B61" s="55"/>
      <c r="C61" s="55"/>
      <c r="D61" s="55"/>
      <c r="E61" s="55"/>
      <c r="F61" s="55"/>
      <c r="G61" s="55"/>
      <c r="H61" s="55"/>
      <c r="I61" s="55"/>
      <c r="J61" s="55"/>
      <c r="K61" s="55"/>
      <c r="L61" s="55"/>
      <c r="M61" s="55"/>
      <c r="N61" s="55"/>
      <c r="O61" s="55"/>
      <c r="P61" s="55"/>
      <c r="Q61" s="55"/>
      <c r="R61" s="55"/>
      <c r="S61" s="55"/>
      <c r="AK61" s="429"/>
      <c r="AP61" s="6"/>
      <c r="AU61" s="64"/>
      <c r="AV61" s="65"/>
      <c r="AW61" s="65"/>
      <c r="AX61" s="65"/>
      <c r="AY61" s="65"/>
      <c r="AZ61" s="65"/>
      <c r="BA61" s="65"/>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c r="CC61" s="53"/>
      <c r="CD61" s="53"/>
      <c r="CE61" s="53"/>
      <c r="CF61" s="53"/>
      <c r="CG61" s="53"/>
      <c r="CH61" s="54"/>
      <c r="CI61" s="54"/>
      <c r="CJ61" s="53"/>
    </row>
    <row r="62" spans="1:132" ht="23.25" x14ac:dyDescent="0.35">
      <c r="A62" s="439" t="s">
        <v>119</v>
      </c>
      <c r="B62" s="305"/>
      <c r="C62" s="305"/>
      <c r="D62" s="305"/>
      <c r="E62" s="305"/>
      <c r="F62" s="305"/>
      <c r="G62" s="306"/>
      <c r="H62" s="55"/>
      <c r="I62" s="55"/>
      <c r="J62" s="55"/>
      <c r="K62" s="55"/>
      <c r="L62" s="69"/>
      <c r="M62" s="69"/>
      <c r="N62" s="69"/>
      <c r="O62" s="69"/>
      <c r="P62" s="69"/>
      <c r="Q62" s="69"/>
      <c r="R62" s="69"/>
      <c r="S62" s="69"/>
      <c r="T62" s="69"/>
      <c r="U62" s="69"/>
      <c r="V62" s="69"/>
      <c r="AK62" s="429"/>
      <c r="AN62" s="69"/>
      <c r="AU62" s="54"/>
      <c r="AV62" s="346"/>
      <c r="AW62" s="346"/>
      <c r="AX62" s="346"/>
      <c r="AY62" s="346"/>
      <c r="AZ62" s="346"/>
      <c r="BA62" s="346"/>
      <c r="BB62" s="346"/>
      <c r="BC62" s="346"/>
      <c r="BD62" s="346"/>
      <c r="BE62" s="346"/>
      <c r="BF62" s="346"/>
      <c r="BG62" s="346"/>
      <c r="BH62" s="346"/>
      <c r="BI62" s="346"/>
      <c r="BJ62" s="346"/>
      <c r="BK62" s="346"/>
      <c r="BL62" s="346"/>
      <c r="BM62" s="346"/>
      <c r="BN62" s="346"/>
      <c r="BO62" s="346"/>
      <c r="BP62" s="346"/>
      <c r="BQ62" s="346"/>
      <c r="BR62" s="346"/>
      <c r="BS62" s="346"/>
      <c r="BT62" s="346"/>
      <c r="BU62" s="346"/>
      <c r="BV62" s="346"/>
      <c r="BW62" s="346"/>
      <c r="BX62" s="346"/>
      <c r="BY62" s="346"/>
      <c r="BZ62" s="346"/>
      <c r="CA62" s="346"/>
      <c r="CB62" s="346"/>
      <c r="CC62" s="346"/>
      <c r="CD62" s="346"/>
      <c r="CE62" s="346"/>
      <c r="CF62" s="346"/>
      <c r="CG62" s="346"/>
      <c r="CH62" s="346"/>
      <c r="CI62" s="346"/>
      <c r="CJ62" s="346"/>
    </row>
    <row r="63" spans="1:132" ht="36" customHeight="1" x14ac:dyDescent="0.35">
      <c r="A63" s="570" t="s">
        <v>98</v>
      </c>
      <c r="B63" s="571"/>
      <c r="C63" s="571"/>
      <c r="D63" s="571"/>
      <c r="E63" s="571"/>
      <c r="F63" s="571"/>
      <c r="G63" s="572"/>
      <c r="H63" s="55"/>
      <c r="I63" s="55"/>
      <c r="J63" s="55"/>
      <c r="K63" s="55"/>
      <c r="L63" s="71"/>
      <c r="M63" s="71"/>
      <c r="N63" s="71"/>
      <c r="W63" s="66"/>
      <c r="X63" s="67"/>
      <c r="AK63" s="429"/>
      <c r="CC63" s="47"/>
      <c r="CD63" s="47"/>
      <c r="CE63" s="47"/>
      <c r="CF63" s="47"/>
      <c r="CG63" s="47"/>
      <c r="CH63" s="47"/>
      <c r="CI63" s="47"/>
      <c r="CJ63" s="47"/>
    </row>
    <row r="64" spans="1:132" ht="29.25" customHeight="1" x14ac:dyDescent="0.35">
      <c r="A64" s="567" t="s">
        <v>97</v>
      </c>
      <c r="B64" s="568"/>
      <c r="C64" s="568"/>
      <c r="D64" s="568"/>
      <c r="E64" s="568"/>
      <c r="F64" s="568"/>
      <c r="G64" s="569"/>
      <c r="H64" s="55"/>
      <c r="I64" s="55"/>
      <c r="J64" s="55"/>
      <c r="K64" s="55"/>
      <c r="L64" s="131"/>
      <c r="M64" s="70"/>
      <c r="N64" s="70"/>
      <c r="W64" s="66"/>
      <c r="X64" s="68"/>
      <c r="AK64" s="429"/>
      <c r="CC64" s="47"/>
      <c r="CI64" s="67"/>
      <c r="CJ64" s="66"/>
      <c r="CK64" s="67"/>
      <c r="CL64" s="67"/>
      <c r="CM64" s="67"/>
      <c r="CN64" s="67">
        <v>821752</v>
      </c>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54"/>
      <c r="DZ64" s="47"/>
      <c r="EA64" s="47"/>
      <c r="EB64" s="47"/>
    </row>
    <row r="65" spans="1:132" ht="27" customHeight="1" x14ac:dyDescent="0.35">
      <c r="A65" s="581" t="s">
        <v>177</v>
      </c>
      <c r="B65" s="582"/>
      <c r="C65" s="582"/>
      <c r="D65" s="582"/>
      <c r="E65" s="582"/>
      <c r="F65" s="582"/>
      <c r="G65" s="583"/>
      <c r="H65" s="55"/>
      <c r="I65" s="55"/>
      <c r="J65" s="55"/>
      <c r="K65" s="55"/>
      <c r="L65" s="70"/>
      <c r="M65" s="70"/>
      <c r="N65" s="70"/>
      <c r="W65" s="66"/>
      <c r="X65" s="68"/>
      <c r="AK65" s="429"/>
      <c r="BS65" s="54"/>
      <c r="BT65" s="54"/>
      <c r="BU65" s="54"/>
      <c r="CC65" s="47"/>
      <c r="CI65" s="68"/>
      <c r="CJ65" s="66" t="s">
        <v>239</v>
      </c>
      <c r="CK65" s="68"/>
      <c r="CL65" s="68"/>
      <c r="CM65" s="68"/>
      <c r="CN65" s="68">
        <v>90887</v>
      </c>
      <c r="CO65" s="68"/>
      <c r="CP65" s="68"/>
      <c r="CQ65" s="68"/>
      <c r="CR65" s="68"/>
      <c r="CS65" s="68">
        <v>136475</v>
      </c>
      <c r="CT65" s="68"/>
      <c r="CU65" s="68"/>
      <c r="CV65" s="68"/>
      <c r="CW65" s="68"/>
      <c r="CX65" s="68">
        <v>230582</v>
      </c>
      <c r="CY65" s="68"/>
      <c r="CZ65" s="68"/>
      <c r="DA65" s="68"/>
      <c r="DB65" s="68"/>
      <c r="DC65" s="68">
        <v>31655</v>
      </c>
      <c r="DD65" s="68"/>
      <c r="DE65" s="68"/>
      <c r="DF65" s="68"/>
      <c r="DG65" s="68"/>
      <c r="DH65" s="47">
        <v>43246</v>
      </c>
      <c r="DI65" s="68"/>
      <c r="DJ65" s="68"/>
      <c r="DK65" s="68"/>
      <c r="DL65" s="68"/>
      <c r="DM65" s="68">
        <v>88235</v>
      </c>
      <c r="DN65" s="68"/>
      <c r="DO65" s="68"/>
      <c r="DP65" s="68"/>
      <c r="DQ65" s="68"/>
      <c r="DR65" s="68">
        <v>130205</v>
      </c>
      <c r="DS65" s="68"/>
      <c r="DT65" s="68"/>
      <c r="DU65" s="68"/>
      <c r="DV65" s="68"/>
      <c r="DW65" s="68">
        <v>70467</v>
      </c>
      <c r="DX65" s="68"/>
      <c r="DY65" s="54"/>
      <c r="DZ65" s="47"/>
      <c r="EA65" s="47"/>
      <c r="EB65" s="47"/>
    </row>
    <row r="66" spans="1:132" ht="27.75" customHeight="1" x14ac:dyDescent="0.35">
      <c r="A66" s="578" t="s">
        <v>178</v>
      </c>
      <c r="B66" s="579"/>
      <c r="C66" s="579"/>
      <c r="D66" s="579"/>
      <c r="E66" s="579"/>
      <c r="F66" s="579"/>
      <c r="G66" s="580"/>
      <c r="H66" s="55"/>
      <c r="I66" s="55"/>
      <c r="J66" s="55"/>
      <c r="K66" s="55"/>
      <c r="L66" s="70"/>
      <c r="M66" s="70"/>
      <c r="N66" s="70"/>
      <c r="W66" s="66"/>
      <c r="X66" s="68"/>
      <c r="AK66" s="429"/>
      <c r="BS66" s="6"/>
      <c r="BT66" s="6"/>
      <c r="BU66" s="6"/>
      <c r="CC66" s="47"/>
      <c r="CI66" s="68"/>
      <c r="CJ66" s="47"/>
      <c r="CK66" s="47"/>
      <c r="CL66" s="47"/>
      <c r="CM66" s="47"/>
      <c r="CN66" s="47">
        <f>CN65/CN64</f>
        <v>0.11060149534166026</v>
      </c>
      <c r="CO66" s="47"/>
      <c r="CP66" s="47"/>
      <c r="CQ66" s="47"/>
      <c r="CR66" s="47"/>
      <c r="CS66" s="47">
        <f>CS65/CN64</f>
        <v>0.16607808681938102</v>
      </c>
      <c r="CT66" s="47"/>
      <c r="CU66" s="47"/>
      <c r="CV66" s="47"/>
      <c r="CW66" s="47"/>
      <c r="CX66" s="47">
        <f>CX65/CN64</f>
        <v>0.28059803931113037</v>
      </c>
      <c r="CY66" s="47"/>
      <c r="CZ66" s="47"/>
      <c r="DA66" s="47"/>
      <c r="DB66" s="47"/>
      <c r="DC66" s="47">
        <f>DC65/CN64</f>
        <v>3.8521354374555825E-2</v>
      </c>
      <c r="DD66" s="47"/>
      <c r="DE66" s="47"/>
      <c r="DF66" s="47"/>
      <c r="DG66" s="47"/>
      <c r="DH66" s="47">
        <f>DH65/CN64</f>
        <v>5.2626583202718097E-2</v>
      </c>
      <c r="DI66" s="47"/>
      <c r="DJ66" s="47"/>
      <c r="DK66" s="47"/>
      <c r="DL66" s="47"/>
      <c r="DM66" s="47">
        <f>DM65/CN64</f>
        <v>0.10737424429754963</v>
      </c>
      <c r="DN66" s="47"/>
      <c r="DO66" s="47"/>
      <c r="DP66" s="47"/>
      <c r="DQ66" s="47"/>
      <c r="DR66" s="47">
        <f>DR65/CN64</f>
        <v>0.15844804758613304</v>
      </c>
      <c r="DS66" s="47"/>
      <c r="DT66" s="47"/>
      <c r="DU66" s="47"/>
      <c r="DV66" s="47"/>
      <c r="DW66" s="47">
        <f>DW65/CN64</f>
        <v>8.5752149066871758E-2</v>
      </c>
      <c r="DX66" s="54"/>
      <c r="DY66" s="54"/>
      <c r="DZ66" s="54"/>
      <c r="EA66" s="54"/>
      <c r="EB66" s="54"/>
    </row>
    <row r="67" spans="1:132" ht="15.75" thickBot="1" x14ac:dyDescent="0.3">
      <c r="A67" s="445"/>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6"/>
      <c r="Z67" s="446"/>
      <c r="AA67" s="446"/>
      <c r="AB67" s="446"/>
      <c r="AC67" s="446"/>
      <c r="AD67" s="446"/>
      <c r="AE67" s="446"/>
      <c r="AF67" s="446"/>
      <c r="AG67" s="446"/>
      <c r="AH67" s="446"/>
      <c r="AI67" s="446"/>
      <c r="AJ67" s="446"/>
      <c r="AK67" s="446"/>
      <c r="CC67" s="47"/>
      <c r="CI67" s="68"/>
      <c r="CJ67" s="47" t="s">
        <v>240</v>
      </c>
      <c r="CK67" s="53"/>
      <c r="CL67" s="53"/>
      <c r="CM67" s="53"/>
      <c r="CN67" s="47">
        <v>6.6</v>
      </c>
      <c r="CO67" s="47"/>
      <c r="CP67" s="47"/>
      <c r="CQ67" s="54"/>
      <c r="CR67" s="54"/>
      <c r="CS67" s="54">
        <v>13.8</v>
      </c>
      <c r="CT67" s="54"/>
      <c r="CU67" s="54"/>
      <c r="CV67" s="54"/>
      <c r="CW67" s="54"/>
      <c r="CX67" s="54">
        <v>37.4</v>
      </c>
      <c r="CY67" s="54"/>
      <c r="CZ67" s="54"/>
      <c r="DA67" s="54"/>
      <c r="DB67" s="54"/>
      <c r="DC67" s="54">
        <v>10</v>
      </c>
      <c r="DD67" s="54"/>
      <c r="DE67" s="54"/>
      <c r="DF67" s="54"/>
      <c r="DG67" s="54"/>
      <c r="DH67" s="54">
        <v>6.9</v>
      </c>
      <c r="DI67" s="54"/>
      <c r="DJ67" s="54"/>
      <c r="DK67" s="54"/>
      <c r="DL67" s="54"/>
      <c r="DM67" s="54">
        <v>6.8</v>
      </c>
      <c r="DN67" s="54"/>
      <c r="DO67" s="54"/>
      <c r="DP67" s="54"/>
      <c r="DQ67" s="54"/>
      <c r="DR67" s="54">
        <v>11.7</v>
      </c>
      <c r="DS67" s="54"/>
      <c r="DT67" s="54"/>
      <c r="DU67" s="54"/>
      <c r="DV67" s="54"/>
      <c r="DW67" s="54">
        <v>6.8</v>
      </c>
      <c r="DX67" s="53"/>
      <c r="DY67" s="53"/>
      <c r="DZ67" s="53"/>
      <c r="EA67" s="53"/>
      <c r="EB67" s="6"/>
    </row>
    <row r="68" spans="1:132" x14ac:dyDescent="0.25">
      <c r="CC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47"/>
      <c r="DN68" s="47"/>
      <c r="DO68" s="47"/>
      <c r="DP68" s="47"/>
      <c r="DQ68" s="47"/>
      <c r="DR68" s="47"/>
      <c r="DS68" s="47"/>
      <c r="DT68" s="47"/>
      <c r="DU68" s="47"/>
      <c r="DV68" s="47"/>
      <c r="DW68" s="47"/>
      <c r="DX68" s="47"/>
      <c r="DY68" s="47"/>
      <c r="DZ68" s="47"/>
      <c r="EA68" s="47"/>
      <c r="EB68" s="47"/>
    </row>
    <row r="69" spans="1:132" x14ac:dyDescent="0.25">
      <c r="CC69" s="47"/>
      <c r="CI69" s="47"/>
      <c r="CJ69" s="47"/>
      <c r="CK69" s="47"/>
      <c r="CL69" s="47"/>
      <c r="CM69" s="47">
        <f>37650*6.6%</f>
        <v>2484.9</v>
      </c>
      <c r="CN69" s="47"/>
      <c r="CO69" s="47"/>
      <c r="CP69" s="47"/>
      <c r="CQ69" s="47"/>
      <c r="CR69" s="47"/>
      <c r="CS69" s="47">
        <f>22500*13.8%</f>
        <v>3105.0000000000005</v>
      </c>
      <c r="CT69" s="47"/>
      <c r="CU69" s="47"/>
      <c r="CV69" s="47"/>
      <c r="CW69" s="47"/>
      <c r="CX69" s="47">
        <f>22500*37.4%</f>
        <v>8415</v>
      </c>
      <c r="CY69" s="47"/>
      <c r="CZ69" s="47"/>
      <c r="DA69" s="47"/>
      <c r="DB69" s="47"/>
      <c r="DC69" s="47">
        <f>22500*10%</f>
        <v>2250</v>
      </c>
      <c r="DD69" s="47"/>
      <c r="DE69" s="47"/>
      <c r="DF69" s="47"/>
      <c r="DG69" s="47"/>
      <c r="DH69" s="47"/>
      <c r="DI69" s="47"/>
      <c r="DJ69" s="47"/>
      <c r="DK69" s="47"/>
      <c r="DL69" s="47"/>
      <c r="DM69" s="47">
        <f>22500*6.8%</f>
        <v>1530</v>
      </c>
      <c r="DN69" s="47"/>
      <c r="DO69" s="47"/>
      <c r="DP69" s="47"/>
      <c r="DQ69" s="47"/>
      <c r="DR69" s="47">
        <f>22500*11.7%</f>
        <v>2632.5</v>
      </c>
      <c r="DS69" s="47"/>
      <c r="DT69" s="47"/>
      <c r="DU69" s="47"/>
      <c r="DV69" s="47"/>
      <c r="DW69" s="47">
        <f>22500*6.8%</f>
        <v>1530</v>
      </c>
      <c r="DX69" s="47"/>
      <c r="DY69" s="47"/>
      <c r="DZ69" s="47"/>
      <c r="EA69" s="47"/>
      <c r="EB69" s="47"/>
    </row>
    <row r="70" spans="1:132" x14ac:dyDescent="0.25">
      <c r="CC70" s="47"/>
      <c r="CI70" s="47"/>
      <c r="CJ70" s="47"/>
      <c r="CK70" s="47"/>
      <c r="CL70" s="47">
        <f>37650/10125</f>
        <v>3.7185185185185183</v>
      </c>
      <c r="CM70" s="47">
        <f>CM69/CL70</f>
        <v>668.25000000000011</v>
      </c>
      <c r="CN70" s="47"/>
      <c r="CO70" s="47"/>
      <c r="CP70" s="47"/>
      <c r="CQ70" s="47"/>
      <c r="CR70" s="47">
        <f>22500/10125</f>
        <v>2.2222222222222223</v>
      </c>
      <c r="CS70" s="47">
        <f>CS69/CR70</f>
        <v>1397.2500000000002</v>
      </c>
      <c r="CT70" s="47"/>
      <c r="CU70" s="47"/>
      <c r="CV70" s="47"/>
      <c r="CW70" s="47">
        <f>22500/10125</f>
        <v>2.2222222222222223</v>
      </c>
      <c r="CX70" s="47">
        <f>CX69/CW70</f>
        <v>3786.75</v>
      </c>
      <c r="CY70" s="47"/>
      <c r="CZ70" s="47"/>
      <c r="DA70" s="47"/>
      <c r="DB70" s="47">
        <f>22500/10125</f>
        <v>2.2222222222222223</v>
      </c>
      <c r="DC70" s="47">
        <f>DC69/DB70</f>
        <v>1012.5</v>
      </c>
      <c r="DD70" s="47"/>
      <c r="DE70" s="47"/>
      <c r="DF70" s="47"/>
      <c r="DG70" s="47"/>
      <c r="DH70" s="47">
        <f>22500*6.9%</f>
        <v>1552.5000000000002</v>
      </c>
      <c r="DI70" s="47"/>
      <c r="DJ70" s="47"/>
      <c r="DK70" s="47"/>
      <c r="DL70" s="47">
        <f>22500/10125</f>
        <v>2.2222222222222223</v>
      </c>
      <c r="DM70" s="47">
        <f>DM69/DL70</f>
        <v>688.5</v>
      </c>
      <c r="DN70" s="47"/>
      <c r="DO70" s="47"/>
      <c r="DP70" s="47"/>
      <c r="DQ70" s="47">
        <f>22500/10125</f>
        <v>2.2222222222222223</v>
      </c>
      <c r="DR70" s="47">
        <f>DR69/DQ70</f>
        <v>1184.625</v>
      </c>
      <c r="DS70" s="47"/>
      <c r="DT70" s="47"/>
      <c r="DU70" s="47"/>
      <c r="DV70" s="47">
        <f>22500/10125</f>
        <v>2.2222222222222223</v>
      </c>
      <c r="DW70" s="47">
        <f>DW69/DV70</f>
        <v>688.5</v>
      </c>
      <c r="DX70" s="47"/>
      <c r="DY70" s="47"/>
      <c r="DZ70" s="47"/>
      <c r="EA70" s="47"/>
      <c r="EB70" s="47"/>
    </row>
    <row r="71" spans="1:132" x14ac:dyDescent="0.25">
      <c r="CC71" s="47"/>
      <c r="CI71" s="47"/>
      <c r="CJ71" s="47"/>
      <c r="CK71" s="47"/>
      <c r="CL71" s="47">
        <f>37650/338</f>
        <v>111.3905325443787</v>
      </c>
      <c r="CM71" s="47">
        <f>CM69/CL71</f>
        <v>22.308</v>
      </c>
      <c r="CN71" s="47"/>
      <c r="CO71" s="47"/>
      <c r="CP71" s="47"/>
      <c r="CQ71" s="47"/>
      <c r="CR71" s="47">
        <f>22500/338</f>
        <v>66.568047337278102</v>
      </c>
      <c r="CS71" s="47">
        <f>CS69/CR71</f>
        <v>46.644000000000013</v>
      </c>
      <c r="CT71" s="47"/>
      <c r="CU71" s="47"/>
      <c r="CV71" s="47"/>
      <c r="CW71" s="47">
        <f>22500/338</f>
        <v>66.568047337278102</v>
      </c>
      <c r="CX71" s="47">
        <f>CX69/CW71</f>
        <v>126.41200000000001</v>
      </c>
      <c r="CY71" s="47"/>
      <c r="CZ71" s="47"/>
      <c r="DA71" s="47"/>
      <c r="DB71" s="47">
        <f>22500/338</f>
        <v>66.568047337278102</v>
      </c>
      <c r="DC71" s="47">
        <f>DC69/DB71</f>
        <v>33.800000000000004</v>
      </c>
      <c r="DD71" s="47"/>
      <c r="DE71" s="47"/>
      <c r="DF71" s="47"/>
      <c r="DG71" s="47">
        <f>22500/10125</f>
        <v>2.2222222222222223</v>
      </c>
      <c r="DH71" s="47">
        <f>DH70/DG71</f>
        <v>698.62500000000011</v>
      </c>
      <c r="DI71" s="47"/>
      <c r="DJ71" s="47"/>
      <c r="DK71" s="47"/>
      <c r="DL71" s="47">
        <f>22500/338</f>
        <v>66.568047337278102</v>
      </c>
      <c r="DM71" s="47">
        <f>DM69/DL71</f>
        <v>22.984000000000002</v>
      </c>
      <c r="DN71" s="47"/>
      <c r="DO71" s="47"/>
      <c r="DP71" s="47"/>
      <c r="DQ71" s="47">
        <f>22500/338</f>
        <v>66.568047337278102</v>
      </c>
      <c r="DR71" s="47">
        <f>DR69/DQ71</f>
        <v>39.545999999999999</v>
      </c>
      <c r="DS71" s="47"/>
      <c r="DT71" s="47"/>
      <c r="DU71" s="47"/>
      <c r="DV71" s="47">
        <f>22500/338</f>
        <v>66.568047337278102</v>
      </c>
      <c r="DW71" s="47">
        <f>DW69/DV71</f>
        <v>22.984000000000002</v>
      </c>
      <c r="DX71" s="47"/>
      <c r="DY71" s="47"/>
      <c r="DZ71" s="47"/>
      <c r="EA71" s="47"/>
      <c r="EB71" s="47"/>
    </row>
    <row r="72" spans="1:132" x14ac:dyDescent="0.25">
      <c r="CC72" s="47"/>
      <c r="CI72" s="47"/>
      <c r="CJ72" s="47"/>
      <c r="CK72" s="47"/>
      <c r="CL72" s="47">
        <f>37650/788</f>
        <v>47.779187817258887</v>
      </c>
      <c r="CM72" s="47">
        <f>CM69/CL72</f>
        <v>52.007999999999996</v>
      </c>
      <c r="CN72" s="47"/>
      <c r="CO72" s="47"/>
      <c r="CP72" s="47"/>
      <c r="CQ72" s="47"/>
      <c r="CR72" s="47">
        <f>22500/788</f>
        <v>28.553299492385786</v>
      </c>
      <c r="CS72" s="47">
        <f>CS69/CR72</f>
        <v>108.74400000000001</v>
      </c>
      <c r="CT72" s="47"/>
      <c r="CU72" s="47"/>
      <c r="CV72" s="47"/>
      <c r="CW72" s="47">
        <f>22500/788</f>
        <v>28.553299492385786</v>
      </c>
      <c r="CX72" s="47">
        <f>CX69/CW72</f>
        <v>294.71199999999999</v>
      </c>
      <c r="CY72" s="47"/>
      <c r="CZ72" s="47"/>
      <c r="DA72" s="47"/>
      <c r="DB72" s="47">
        <f>22500/788</f>
        <v>28.553299492385786</v>
      </c>
      <c r="DC72" s="47">
        <f>DC69/DB72</f>
        <v>78.8</v>
      </c>
      <c r="DD72" s="47"/>
      <c r="DE72" s="47"/>
      <c r="DF72" s="47"/>
      <c r="DG72" s="47">
        <f>22500/338</f>
        <v>66.568047337278102</v>
      </c>
      <c r="DH72" s="47">
        <f>DH70/DG72</f>
        <v>23.322000000000006</v>
      </c>
      <c r="DI72" s="47"/>
      <c r="DJ72" s="47"/>
      <c r="DK72" s="47"/>
      <c r="DL72" s="47">
        <f>22500/788</f>
        <v>28.553299492385786</v>
      </c>
      <c r="DM72" s="47">
        <f>DM69/DL72</f>
        <v>53.584000000000003</v>
      </c>
      <c r="DN72" s="47"/>
      <c r="DO72" s="47"/>
      <c r="DP72" s="47"/>
      <c r="DQ72" s="47">
        <f>22500/788</f>
        <v>28.553299492385786</v>
      </c>
      <c r="DR72" s="47">
        <f>DR69/DQ72</f>
        <v>92.195999999999998</v>
      </c>
      <c r="DS72" s="47"/>
      <c r="DT72" s="47"/>
      <c r="DU72" s="47"/>
      <c r="DV72" s="47">
        <f>22500/788</f>
        <v>28.553299492385786</v>
      </c>
      <c r="DW72" s="47">
        <f>DW69/DV72</f>
        <v>53.584000000000003</v>
      </c>
      <c r="DX72" s="47"/>
      <c r="DY72" s="47"/>
      <c r="DZ72" s="47"/>
      <c r="EA72" s="47"/>
      <c r="EB72" s="47"/>
    </row>
    <row r="73" spans="1:132" x14ac:dyDescent="0.25">
      <c r="CC73" s="47"/>
      <c r="CI73" s="47"/>
      <c r="CJ73" s="47"/>
      <c r="CK73" s="47"/>
      <c r="CL73" s="47">
        <f>37650/11250</f>
        <v>3.3466666666666667</v>
      </c>
      <c r="CM73" s="47">
        <f>CM69/CL73</f>
        <v>742.5</v>
      </c>
      <c r="CN73" s="47"/>
      <c r="CO73" s="47"/>
      <c r="CP73" s="47"/>
      <c r="CQ73" s="47"/>
      <c r="CR73" s="47">
        <f>22500/11250</f>
        <v>2</v>
      </c>
      <c r="CS73" s="47">
        <f>CS69/CR73</f>
        <v>1552.5000000000002</v>
      </c>
      <c r="CT73" s="47"/>
      <c r="CU73" s="47"/>
      <c r="CV73" s="47"/>
      <c r="CW73" s="47">
        <f>22500/11250</f>
        <v>2</v>
      </c>
      <c r="CX73" s="47">
        <f>CX69/CW73</f>
        <v>4207.5</v>
      </c>
      <c r="CY73" s="47"/>
      <c r="CZ73" s="47"/>
      <c r="DA73" s="47"/>
      <c r="DB73" s="47">
        <f>22500/11250</f>
        <v>2</v>
      </c>
      <c r="DC73" s="47">
        <f>DC69/DB73</f>
        <v>1125</v>
      </c>
      <c r="DD73" s="47"/>
      <c r="DE73" s="47"/>
      <c r="DF73" s="47"/>
      <c r="DG73" s="47">
        <f>22500/788</f>
        <v>28.553299492385786</v>
      </c>
      <c r="DH73" s="47">
        <f>DH70/DG73</f>
        <v>54.372000000000007</v>
      </c>
      <c r="DI73" s="47"/>
      <c r="DJ73" s="47"/>
      <c r="DK73" s="47"/>
      <c r="DL73" s="47">
        <f>22500/11250</f>
        <v>2</v>
      </c>
      <c r="DM73" s="47">
        <f>DM69/DL73</f>
        <v>765</v>
      </c>
      <c r="DN73" s="47"/>
      <c r="DO73" s="47"/>
      <c r="DP73" s="47"/>
      <c r="DQ73" s="47">
        <f>22500/11250</f>
        <v>2</v>
      </c>
      <c r="DR73" s="47">
        <f>DR69/DQ73</f>
        <v>1316.25</v>
      </c>
      <c r="DS73" s="47"/>
      <c r="DT73" s="47"/>
      <c r="DU73" s="47"/>
      <c r="DV73" s="47">
        <f>22500/11250</f>
        <v>2</v>
      </c>
      <c r="DW73" s="47">
        <f>DW69/DV73</f>
        <v>765</v>
      </c>
      <c r="DX73" s="47"/>
      <c r="DY73" s="47"/>
      <c r="DZ73" s="47"/>
      <c r="EA73" s="47"/>
      <c r="EB73" s="47"/>
    </row>
    <row r="74" spans="1:132" x14ac:dyDescent="0.25">
      <c r="CC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f>22500/11250</f>
        <v>2</v>
      </c>
      <c r="DH74" s="47">
        <f>DH70/DG74</f>
        <v>776.25000000000011</v>
      </c>
      <c r="DI74" s="47"/>
      <c r="DJ74" s="47"/>
      <c r="DK74" s="47"/>
      <c r="DL74" s="47"/>
      <c r="DM74" s="47"/>
      <c r="DN74" s="47"/>
      <c r="DO74" s="47"/>
      <c r="DP74" s="47"/>
      <c r="DQ74" s="47"/>
      <c r="DR74" s="47"/>
      <c r="DS74" s="47"/>
      <c r="DT74" s="47"/>
      <c r="DU74" s="47"/>
      <c r="DV74" s="47"/>
      <c r="DW74" s="47"/>
      <c r="DX74" s="47"/>
      <c r="DY74" s="47"/>
      <c r="DZ74" s="47"/>
      <c r="EA74" s="47"/>
      <c r="EB74" s="47"/>
    </row>
    <row r="75" spans="1:132" x14ac:dyDescent="0.25">
      <c r="CC75" s="47"/>
      <c r="CI75" s="47"/>
      <c r="CJ75" s="47"/>
      <c r="CK75" s="47"/>
      <c r="CL75" s="47"/>
      <c r="CM75" s="47"/>
      <c r="CN75" s="47"/>
      <c r="CO75" s="47"/>
      <c r="CP75" s="47"/>
      <c r="CQ75" s="47"/>
      <c r="CR75" s="47"/>
      <c r="CS75" s="47"/>
      <c r="CT75" s="47"/>
      <c r="CU75" s="47"/>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row>
    <row r="76" spans="1:132" x14ac:dyDescent="0.25">
      <c r="CC76" s="47"/>
    </row>
    <row r="77" spans="1:132" x14ac:dyDescent="0.25">
      <c r="CC77" s="47"/>
    </row>
    <row r="78" spans="1:132" x14ac:dyDescent="0.25">
      <c r="CC78" s="47"/>
    </row>
    <row r="79" spans="1:132" x14ac:dyDescent="0.25">
      <c r="CC79" s="47"/>
    </row>
    <row r="80" spans="1:132" x14ac:dyDescent="0.25">
      <c r="CC80" s="47"/>
    </row>
    <row r="81" spans="81:81" x14ac:dyDescent="0.25">
      <c r="CC81" s="47"/>
    </row>
    <row r="82" spans="81:81" x14ac:dyDescent="0.25">
      <c r="CC82" s="47"/>
    </row>
    <row r="83" spans="81:81" x14ac:dyDescent="0.25">
      <c r="CC83" s="47"/>
    </row>
    <row r="84" spans="81:81" x14ac:dyDescent="0.25">
      <c r="CC84" s="47"/>
    </row>
    <row r="85" spans="81:81" x14ac:dyDescent="0.25">
      <c r="CC85" s="47"/>
    </row>
    <row r="86" spans="81:81" x14ac:dyDescent="0.25">
      <c r="CC86" s="47"/>
    </row>
    <row r="87" spans="81:81" x14ac:dyDescent="0.25">
      <c r="CC87" s="47"/>
    </row>
    <row r="88" spans="81:81" x14ac:dyDescent="0.25">
      <c r="CC88" s="47"/>
    </row>
    <row r="89" spans="81:81" x14ac:dyDescent="0.25">
      <c r="CC89" s="47"/>
    </row>
    <row r="90" spans="81:81" x14ac:dyDescent="0.25">
      <c r="CC90" s="47"/>
    </row>
    <row r="91" spans="81:81" x14ac:dyDescent="0.25">
      <c r="CC91" s="47"/>
    </row>
    <row r="92" spans="81:81" x14ac:dyDescent="0.25">
      <c r="CC92" s="47"/>
    </row>
    <row r="93" spans="81:81" x14ac:dyDescent="0.25">
      <c r="CC93" s="47"/>
    </row>
    <row r="94" spans="81:81" x14ac:dyDescent="0.25">
      <c r="CC94" s="47"/>
    </row>
    <row r="95" spans="81:81" x14ac:dyDescent="0.25">
      <c r="CC95" s="47"/>
    </row>
    <row r="96" spans="81:81" x14ac:dyDescent="0.25">
      <c r="CC96" s="47"/>
    </row>
    <row r="97" spans="81:81" x14ac:dyDescent="0.25">
      <c r="CC97" s="47"/>
    </row>
    <row r="98" spans="81:81" x14ac:dyDescent="0.25">
      <c r="CC98" s="47"/>
    </row>
    <row r="99" spans="81:81" x14ac:dyDescent="0.25">
      <c r="CC99" s="47"/>
    </row>
    <row r="100" spans="81:81" x14ac:dyDescent="0.25">
      <c r="CC100" s="47"/>
    </row>
    <row r="101" spans="81:81" x14ac:dyDescent="0.25">
      <c r="CC101" s="47"/>
    </row>
    <row r="102" spans="81:81" x14ac:dyDescent="0.25">
      <c r="CC102" s="47"/>
    </row>
    <row r="103" spans="81:81" x14ac:dyDescent="0.25">
      <c r="CC103" s="47"/>
    </row>
    <row r="104" spans="81:81" x14ac:dyDescent="0.25">
      <c r="CC104" s="47"/>
    </row>
    <row r="105" spans="81:81" x14ac:dyDescent="0.25">
      <c r="CC105" s="47"/>
    </row>
  </sheetData>
  <mergeCells count="88">
    <mergeCell ref="BX3:CB3"/>
    <mergeCell ref="BS3:BW3"/>
    <mergeCell ref="BN3:BR3"/>
    <mergeCell ref="BI3:BM3"/>
    <mergeCell ref="BD3:BH3"/>
    <mergeCell ref="A32:K32"/>
    <mergeCell ref="A49:K49"/>
    <mergeCell ref="D58:E58"/>
    <mergeCell ref="D60:E60"/>
    <mergeCell ref="I60:L60"/>
    <mergeCell ref="H56:M56"/>
    <mergeCell ref="H46:K46"/>
    <mergeCell ref="A47:G47"/>
    <mergeCell ref="H43:K43"/>
    <mergeCell ref="A45:G45"/>
    <mergeCell ref="A46:G46"/>
    <mergeCell ref="H44:K44"/>
    <mergeCell ref="H45:K45"/>
    <mergeCell ref="O60:R60"/>
    <mergeCell ref="U60:X60"/>
    <mergeCell ref="N56:S56"/>
    <mergeCell ref="T56:Y56"/>
    <mergeCell ref="CH14:CH20"/>
    <mergeCell ref="AO18:AV18"/>
    <mergeCell ref="AZ18:BG18"/>
    <mergeCell ref="BJ18:BQ18"/>
    <mergeCell ref="AO56:AS56"/>
    <mergeCell ref="BW23:CA23"/>
    <mergeCell ref="BC23:BG23"/>
    <mergeCell ref="BH23:BL23"/>
    <mergeCell ref="BM23:BQ23"/>
    <mergeCell ref="D41:E41"/>
    <mergeCell ref="D42:E42"/>
    <mergeCell ref="A39:G39"/>
    <mergeCell ref="H39:N39"/>
    <mergeCell ref="O39:T39"/>
    <mergeCell ref="D40:E40"/>
    <mergeCell ref="AO3:AS3"/>
    <mergeCell ref="AT3:AX3"/>
    <mergeCell ref="A29:K29"/>
    <mergeCell ref="A30:K30"/>
    <mergeCell ref="AC18:AK18"/>
    <mergeCell ref="AN23:AR23"/>
    <mergeCell ref="AS23:AW23"/>
    <mergeCell ref="AX23:BB23"/>
    <mergeCell ref="P3:S3"/>
    <mergeCell ref="T6:AB6"/>
    <mergeCell ref="A11:J11"/>
    <mergeCell ref="AY3:BC3"/>
    <mergeCell ref="A66:G66"/>
    <mergeCell ref="A64:G64"/>
    <mergeCell ref="A65:G65"/>
    <mergeCell ref="A56:G56"/>
    <mergeCell ref="D57:E57"/>
    <mergeCell ref="D59:E59"/>
    <mergeCell ref="A63:G63"/>
    <mergeCell ref="CM35:CM36"/>
    <mergeCell ref="U39:Y39"/>
    <mergeCell ref="CM37:CM38"/>
    <mergeCell ref="X3:AA3"/>
    <mergeCell ref="H3:K3"/>
    <mergeCell ref="A26:K26"/>
    <mergeCell ref="A27:K27"/>
    <mergeCell ref="A28:K28"/>
    <mergeCell ref="A24:K24"/>
    <mergeCell ref="A25:K25"/>
    <mergeCell ref="AC6:AK6"/>
    <mergeCell ref="AO6:AV6"/>
    <mergeCell ref="AZ6:BG6"/>
    <mergeCell ref="BJ6:BQ6"/>
    <mergeCell ref="D21:E21"/>
    <mergeCell ref="L6:S6"/>
    <mergeCell ref="A1:O1"/>
    <mergeCell ref="T3:W3"/>
    <mergeCell ref="L18:S18"/>
    <mergeCell ref="L20:O20"/>
    <mergeCell ref="T18:AB18"/>
    <mergeCell ref="D4:E4"/>
    <mergeCell ref="D5:E5"/>
    <mergeCell ref="A3:G3"/>
    <mergeCell ref="L3:O3"/>
    <mergeCell ref="D7:E7"/>
    <mergeCell ref="H6:K6"/>
    <mergeCell ref="D19:E19"/>
    <mergeCell ref="D20:E20"/>
    <mergeCell ref="A18:G18"/>
    <mergeCell ref="D8:E8"/>
    <mergeCell ref="A6:G6"/>
  </mergeCells>
  <pageMargins left="0.25" right="0.25"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U47"/>
  <sheetViews>
    <sheetView zoomScale="60" zoomScaleNormal="60" workbookViewId="0">
      <selection sqref="A1:Z43"/>
    </sheetView>
  </sheetViews>
  <sheetFormatPr defaultRowHeight="15" x14ac:dyDescent="0.25"/>
  <cols>
    <col min="2" max="2" width="19.85546875" customWidth="1"/>
    <col min="3" max="3" width="30.140625" customWidth="1"/>
    <col min="4" max="4" width="37" customWidth="1"/>
    <col min="5" max="5" width="27.42578125" customWidth="1"/>
    <col min="7" max="7" width="23" customWidth="1"/>
    <col min="8" max="8" width="12" customWidth="1"/>
    <col min="9" max="9" width="13.42578125" bestFit="1" customWidth="1"/>
    <col min="14" max="14" width="12.28515625" customWidth="1"/>
    <col min="20" max="20" width="13.85546875" customWidth="1"/>
    <col min="22" max="22" width="14" bestFit="1" customWidth="1"/>
    <col min="25" max="25" width="13.42578125" bestFit="1" customWidth="1"/>
    <col min="27" max="27" width="12.28515625" bestFit="1" customWidth="1"/>
    <col min="30" max="30" width="13.42578125" customWidth="1"/>
    <col min="35" max="35" width="13" bestFit="1" customWidth="1"/>
    <col min="37" max="37" width="14" bestFit="1" customWidth="1"/>
    <col min="45" max="45" width="13" bestFit="1" customWidth="1"/>
    <col min="47" max="47" width="13.42578125" bestFit="1" customWidth="1"/>
    <col min="50" max="50" width="14" bestFit="1" customWidth="1"/>
    <col min="55" max="55" width="13" bestFit="1" customWidth="1"/>
    <col min="60" max="60" width="12.5703125" bestFit="1" customWidth="1"/>
  </cols>
  <sheetData>
    <row r="1" spans="1:73" ht="23.25" customHeight="1" x14ac:dyDescent="0.25">
      <c r="A1" s="638" t="s">
        <v>330</v>
      </c>
      <c r="B1" s="639"/>
      <c r="C1" s="639"/>
      <c r="D1" s="639"/>
      <c r="E1" s="639"/>
      <c r="F1" s="639"/>
      <c r="G1" s="639"/>
      <c r="H1" s="426"/>
      <c r="I1" s="471"/>
      <c r="J1" s="471"/>
      <c r="K1" s="471"/>
      <c r="L1" s="471"/>
      <c r="M1" s="471"/>
      <c r="N1" s="471"/>
      <c r="O1" s="471"/>
      <c r="P1" s="471"/>
      <c r="Q1" s="471"/>
      <c r="R1" s="471"/>
      <c r="S1" s="471"/>
      <c r="T1" s="471"/>
      <c r="U1" s="471"/>
      <c r="V1" s="471"/>
      <c r="W1" s="471"/>
      <c r="X1" s="471"/>
      <c r="Y1" s="471"/>
      <c r="Z1" s="472"/>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54"/>
      <c r="BK1" s="54"/>
      <c r="BL1" s="54"/>
      <c r="BM1" s="54"/>
      <c r="BN1" s="54"/>
      <c r="BO1" s="54"/>
      <c r="BP1" s="54"/>
      <c r="BQ1" s="54"/>
      <c r="BR1" s="47"/>
      <c r="BS1" s="47"/>
      <c r="BT1" s="47"/>
      <c r="BU1" s="47"/>
    </row>
    <row r="2" spans="1:73" ht="23.25" x14ac:dyDescent="0.25">
      <c r="A2" s="640" t="s">
        <v>164</v>
      </c>
      <c r="B2" s="641"/>
      <c r="C2" s="641"/>
      <c r="D2" s="641"/>
      <c r="E2" s="641"/>
      <c r="F2" s="641"/>
      <c r="G2" s="641"/>
      <c r="H2" s="276"/>
      <c r="I2" s="176"/>
      <c r="J2" s="176"/>
      <c r="K2" s="176"/>
      <c r="L2" s="176"/>
      <c r="M2" s="176"/>
      <c r="N2" s="176"/>
      <c r="O2" s="176"/>
      <c r="P2" s="176"/>
      <c r="Q2" s="176"/>
      <c r="R2" s="176"/>
      <c r="S2" s="176"/>
      <c r="T2" s="176"/>
      <c r="U2" s="176"/>
      <c r="V2" s="176"/>
      <c r="W2" s="176"/>
      <c r="X2" s="176"/>
      <c r="Y2" s="176"/>
      <c r="Z2" s="473"/>
      <c r="AA2" s="176"/>
      <c r="AB2" s="176"/>
      <c r="AC2" s="176"/>
      <c r="AD2" s="176"/>
      <c r="AE2" s="176"/>
      <c r="AF2" s="177"/>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54"/>
      <c r="BK2" s="54"/>
      <c r="BL2" s="54"/>
      <c r="BM2" s="54"/>
      <c r="BN2" s="54"/>
      <c r="BO2" s="54"/>
      <c r="BP2" s="54"/>
      <c r="BQ2" s="54"/>
      <c r="BR2" s="47"/>
      <c r="BS2" s="47"/>
      <c r="BT2" s="47"/>
      <c r="BU2" s="47"/>
    </row>
    <row r="3" spans="1:73" ht="21" x14ac:dyDescent="0.25">
      <c r="A3" s="642"/>
      <c r="B3" s="643"/>
      <c r="C3" s="643"/>
      <c r="D3" s="643"/>
      <c r="E3" s="643"/>
      <c r="F3" s="643"/>
      <c r="G3" s="643"/>
      <c r="H3" s="544" t="s">
        <v>191</v>
      </c>
      <c r="I3" s="544"/>
      <c r="J3" s="544"/>
      <c r="K3" s="544"/>
      <c r="L3" s="544"/>
      <c r="M3" s="544"/>
      <c r="N3" s="546" t="s">
        <v>211</v>
      </c>
      <c r="O3" s="546"/>
      <c r="P3" s="546"/>
      <c r="Q3" s="546"/>
      <c r="R3" s="546"/>
      <c r="S3" s="546"/>
      <c r="T3" s="573" t="s">
        <v>231</v>
      </c>
      <c r="U3" s="573"/>
      <c r="V3" s="573"/>
      <c r="W3" s="573"/>
      <c r="X3" s="573"/>
      <c r="Y3" s="573"/>
      <c r="Z3" s="429"/>
      <c r="AA3" s="118"/>
      <c r="AB3" s="634" t="s">
        <v>10</v>
      </c>
      <c r="AC3" s="635"/>
      <c r="AD3" s="635"/>
      <c r="AE3" s="635"/>
      <c r="AF3" s="636"/>
      <c r="AG3" s="634" t="s">
        <v>15</v>
      </c>
      <c r="AH3" s="635"/>
      <c r="AI3" s="635"/>
      <c r="AJ3" s="635"/>
      <c r="AK3" s="636"/>
      <c r="AL3" s="634" t="s">
        <v>22</v>
      </c>
      <c r="AM3" s="635"/>
      <c r="AN3" s="635"/>
      <c r="AO3" s="635"/>
      <c r="AP3" s="636"/>
      <c r="AQ3" s="634" t="s">
        <v>12</v>
      </c>
      <c r="AR3" s="635"/>
      <c r="AS3" s="635"/>
      <c r="AT3" s="635"/>
      <c r="AU3" s="636"/>
      <c r="AV3" s="634" t="s">
        <v>13</v>
      </c>
      <c r="AW3" s="635"/>
      <c r="AX3" s="635"/>
      <c r="AY3" s="635"/>
      <c r="AZ3" s="636"/>
      <c r="BA3" s="634" t="s">
        <v>11</v>
      </c>
      <c r="BB3" s="635"/>
      <c r="BC3" s="635"/>
      <c r="BD3" s="635"/>
      <c r="BE3" s="636"/>
      <c r="BF3" s="634" t="s">
        <v>16</v>
      </c>
      <c r="BG3" s="635"/>
      <c r="BH3" s="635"/>
      <c r="BI3" s="635"/>
      <c r="BJ3" s="636"/>
      <c r="BK3" s="634" t="s">
        <v>14</v>
      </c>
      <c r="BL3" s="635"/>
      <c r="BM3" s="635"/>
      <c r="BN3" s="635"/>
      <c r="BO3" s="636"/>
      <c r="BU3" s="47"/>
    </row>
    <row r="4" spans="1:73" ht="34.5" customHeight="1" thickBot="1" x14ac:dyDescent="0.3">
      <c r="A4" s="430" t="s">
        <v>5</v>
      </c>
      <c r="B4" s="34" t="s">
        <v>171</v>
      </c>
      <c r="C4" s="34" t="s">
        <v>2</v>
      </c>
      <c r="D4" s="627" t="s">
        <v>46</v>
      </c>
      <c r="E4" s="628"/>
      <c r="F4" s="350" t="s">
        <v>9</v>
      </c>
      <c r="G4" s="350" t="s">
        <v>0</v>
      </c>
      <c r="H4" s="206" t="s">
        <v>348</v>
      </c>
      <c r="I4" s="29" t="s">
        <v>20</v>
      </c>
      <c r="J4" s="28" t="s">
        <v>28</v>
      </c>
      <c r="K4" s="29" t="s">
        <v>27</v>
      </c>
      <c r="L4" s="28" t="s">
        <v>21</v>
      </c>
      <c r="M4" s="29" t="s">
        <v>34</v>
      </c>
      <c r="N4" s="206" t="s">
        <v>297</v>
      </c>
      <c r="O4" s="37" t="s">
        <v>20</v>
      </c>
      <c r="P4" s="40" t="s">
        <v>28</v>
      </c>
      <c r="Q4" s="37" t="s">
        <v>27</v>
      </c>
      <c r="R4" s="40" t="s">
        <v>21</v>
      </c>
      <c r="S4" s="37" t="s">
        <v>34</v>
      </c>
      <c r="T4" s="206" t="s">
        <v>298</v>
      </c>
      <c r="U4" s="172" t="s">
        <v>20</v>
      </c>
      <c r="V4" s="171" t="s">
        <v>28</v>
      </c>
      <c r="W4" s="172" t="s">
        <v>27</v>
      </c>
      <c r="X4" s="171" t="s">
        <v>21</v>
      </c>
      <c r="Y4" s="172" t="s">
        <v>34</v>
      </c>
      <c r="Z4" s="429"/>
      <c r="AA4" s="118"/>
      <c r="AB4" s="179" t="s">
        <v>20</v>
      </c>
      <c r="AC4" s="179" t="s">
        <v>28</v>
      </c>
      <c r="AD4" s="179" t="s">
        <v>27</v>
      </c>
      <c r="AE4" s="179" t="s">
        <v>21</v>
      </c>
      <c r="AF4" s="179" t="s">
        <v>34</v>
      </c>
      <c r="AG4" s="179" t="s">
        <v>20</v>
      </c>
      <c r="AH4" s="179" t="s">
        <v>28</v>
      </c>
      <c r="AI4" s="179" t="s">
        <v>27</v>
      </c>
      <c r="AJ4" s="179" t="s">
        <v>21</v>
      </c>
      <c r="AK4" s="179" t="s">
        <v>34</v>
      </c>
      <c r="AL4" s="179" t="s">
        <v>20</v>
      </c>
      <c r="AM4" s="179" t="s">
        <v>28</v>
      </c>
      <c r="AN4" s="179" t="s">
        <v>27</v>
      </c>
      <c r="AO4" s="179" t="s">
        <v>21</v>
      </c>
      <c r="AP4" s="179" t="s">
        <v>34</v>
      </c>
      <c r="AQ4" s="179" t="s">
        <v>20</v>
      </c>
      <c r="AR4" s="179" t="s">
        <v>28</v>
      </c>
      <c r="AS4" s="179" t="s">
        <v>27</v>
      </c>
      <c r="AT4" s="179" t="s">
        <v>21</v>
      </c>
      <c r="AU4" s="179" t="s">
        <v>34</v>
      </c>
      <c r="AV4" s="179" t="s">
        <v>20</v>
      </c>
      <c r="AW4" s="179" t="s">
        <v>28</v>
      </c>
      <c r="AX4" s="179" t="s">
        <v>27</v>
      </c>
      <c r="AY4" s="179" t="s">
        <v>21</v>
      </c>
      <c r="AZ4" s="179" t="s">
        <v>34</v>
      </c>
      <c r="BA4" s="178" t="s">
        <v>20</v>
      </c>
      <c r="BB4" s="168" t="s">
        <v>28</v>
      </c>
      <c r="BC4" s="168" t="s">
        <v>27</v>
      </c>
      <c r="BD4" s="168" t="s">
        <v>21</v>
      </c>
      <c r="BE4" s="180"/>
      <c r="BF4" s="168" t="s">
        <v>20</v>
      </c>
      <c r="BG4" s="168" t="s">
        <v>28</v>
      </c>
      <c r="BH4" s="168" t="s">
        <v>27</v>
      </c>
      <c r="BI4" s="168" t="s">
        <v>21</v>
      </c>
      <c r="BJ4" s="168"/>
      <c r="BK4" s="178" t="s">
        <v>20</v>
      </c>
      <c r="BL4" s="168" t="s">
        <v>28</v>
      </c>
      <c r="BM4" s="168" t="s">
        <v>27</v>
      </c>
      <c r="BN4" s="168" t="s">
        <v>21</v>
      </c>
      <c r="BO4" s="168" t="s">
        <v>34</v>
      </c>
      <c r="BU4" s="47"/>
    </row>
    <row r="5" spans="1:73" ht="95.25" customHeight="1" x14ac:dyDescent="0.25">
      <c r="A5" s="474" t="s">
        <v>17</v>
      </c>
      <c r="B5" s="8" t="s">
        <v>329</v>
      </c>
      <c r="C5" s="8" t="s">
        <v>241</v>
      </c>
      <c r="D5" s="644" t="s">
        <v>99</v>
      </c>
      <c r="E5" s="645"/>
      <c r="F5" s="193" t="s">
        <v>93</v>
      </c>
      <c r="G5" s="193" t="s">
        <v>94</v>
      </c>
      <c r="H5" s="255" t="s">
        <v>57</v>
      </c>
      <c r="I5" s="35">
        <f>1000*0.75</f>
        <v>750</v>
      </c>
      <c r="J5" s="36">
        <f>60*0.75</f>
        <v>45</v>
      </c>
      <c r="K5" s="35">
        <f>140*0.75</f>
        <v>105</v>
      </c>
      <c r="L5" s="36">
        <f>2800*0.75</f>
        <v>2100</v>
      </c>
      <c r="M5" s="32"/>
      <c r="N5" s="255">
        <f>SUM(I5:L5)</f>
        <v>3000</v>
      </c>
      <c r="O5" s="38">
        <v>750</v>
      </c>
      <c r="P5" s="42">
        <v>45</v>
      </c>
      <c r="Q5" s="38">
        <v>105</v>
      </c>
      <c r="R5" s="42">
        <v>2100</v>
      </c>
      <c r="S5" s="39"/>
      <c r="T5" s="255">
        <f>SUM(O5:R5)</f>
        <v>3000</v>
      </c>
      <c r="U5" s="174">
        <v>750</v>
      </c>
      <c r="V5" s="165">
        <v>45</v>
      </c>
      <c r="W5" s="174">
        <v>105</v>
      </c>
      <c r="X5" s="165">
        <v>2100</v>
      </c>
      <c r="Y5" s="173"/>
      <c r="Z5" s="429"/>
      <c r="AA5" s="330" t="s">
        <v>17</v>
      </c>
      <c r="AB5" s="99">
        <f>175*0.75</f>
        <v>131.25</v>
      </c>
      <c r="AC5" s="99">
        <v>0</v>
      </c>
      <c r="AD5" s="99">
        <v>0</v>
      </c>
      <c r="AE5" s="99">
        <f>249*0.75</f>
        <v>186.75</v>
      </c>
      <c r="AF5" s="99">
        <v>0</v>
      </c>
      <c r="AG5" s="99">
        <f>175*0.75</f>
        <v>131.25</v>
      </c>
      <c r="AH5" s="99">
        <f>10*0.75</f>
        <v>7.5</v>
      </c>
      <c r="AI5" s="99">
        <f>20*0.75</f>
        <v>15</v>
      </c>
      <c r="AJ5" s="99">
        <f>374*0.75</f>
        <v>280.5</v>
      </c>
      <c r="AK5" s="99">
        <v>0</v>
      </c>
      <c r="AL5" s="45">
        <f>175*0.75</f>
        <v>131.25</v>
      </c>
      <c r="AM5" s="45">
        <f>10*0.75</f>
        <v>7.5</v>
      </c>
      <c r="AN5" s="45">
        <f>20*0.75</f>
        <v>15</v>
      </c>
      <c r="AO5" s="45">
        <f>633*0.75</f>
        <v>474.75</v>
      </c>
      <c r="AP5" s="45">
        <v>0</v>
      </c>
      <c r="AQ5" s="45">
        <f>59*0.75</f>
        <v>44.25</v>
      </c>
      <c r="AR5" s="45">
        <f>10*0.75</f>
        <v>7.5</v>
      </c>
      <c r="AS5" s="45">
        <f>20*0.75</f>
        <v>15</v>
      </c>
      <c r="AT5" s="45">
        <f>633*0.75</f>
        <v>474.75</v>
      </c>
      <c r="AU5" s="45">
        <v>0</v>
      </c>
      <c r="AV5" s="45">
        <f>125*0.75</f>
        <v>93.75</v>
      </c>
      <c r="AW5" s="45">
        <v>0</v>
      </c>
      <c r="AX5" s="45">
        <f>20*0.75</f>
        <v>15</v>
      </c>
      <c r="AY5" s="45">
        <f>119*0.75</f>
        <v>89.25</v>
      </c>
      <c r="AZ5" s="45">
        <v>0</v>
      </c>
      <c r="BA5" s="45">
        <f>175*0.75</f>
        <v>131.25</v>
      </c>
      <c r="BB5" s="45">
        <f>10*0.75</f>
        <v>7.5</v>
      </c>
      <c r="BC5" s="45">
        <f>20*0.75</f>
        <v>15</v>
      </c>
      <c r="BD5" s="45">
        <f>242*0.75</f>
        <v>181.5</v>
      </c>
      <c r="BE5" s="45">
        <v>0</v>
      </c>
      <c r="BF5" s="45">
        <f>58*0.75</f>
        <v>43.5</v>
      </c>
      <c r="BG5" s="45">
        <f>10*0.75</f>
        <v>7.5</v>
      </c>
      <c r="BH5" s="45">
        <f>20*0.75</f>
        <v>15</v>
      </c>
      <c r="BI5" s="45">
        <f>357*0.75</f>
        <v>267.75</v>
      </c>
      <c r="BJ5" s="45">
        <v>0</v>
      </c>
      <c r="BK5" s="45">
        <f>58*0.75</f>
        <v>43.5</v>
      </c>
      <c r="BL5" s="45">
        <f>10*0.75</f>
        <v>7.5</v>
      </c>
      <c r="BM5" s="45">
        <f>20*0.75</f>
        <v>15</v>
      </c>
      <c r="BN5" s="45">
        <f>193*0.75</f>
        <v>144.75</v>
      </c>
      <c r="BO5" s="45">
        <v>0</v>
      </c>
      <c r="BU5" s="47"/>
    </row>
    <row r="6" spans="1:73" ht="135" customHeight="1" x14ac:dyDescent="0.25">
      <c r="A6" s="433" t="s">
        <v>18</v>
      </c>
      <c r="B6" s="9" t="s">
        <v>159</v>
      </c>
      <c r="C6" s="9" t="s">
        <v>183</v>
      </c>
      <c r="D6" s="584" t="s">
        <v>99</v>
      </c>
      <c r="E6" s="585"/>
      <c r="F6" s="9" t="s">
        <v>93</v>
      </c>
      <c r="G6" s="9" t="s">
        <v>94</v>
      </c>
      <c r="H6" s="167" t="s">
        <v>57</v>
      </c>
      <c r="I6" s="35">
        <f>1000*0.75</f>
        <v>750</v>
      </c>
      <c r="J6" s="36">
        <f>60*0.75</f>
        <v>45</v>
      </c>
      <c r="K6" s="35">
        <f>140*0.75</f>
        <v>105</v>
      </c>
      <c r="L6" s="36">
        <f>2800*0.75</f>
        <v>2100</v>
      </c>
      <c r="M6" s="35"/>
      <c r="N6" s="255">
        <f>SUM(I6:L6)</f>
        <v>3000</v>
      </c>
      <c r="O6" s="38">
        <v>750</v>
      </c>
      <c r="P6" s="42">
        <v>45</v>
      </c>
      <c r="Q6" s="38">
        <v>105</v>
      </c>
      <c r="R6" s="42">
        <v>2100</v>
      </c>
      <c r="S6" s="38"/>
      <c r="T6" s="255">
        <f>SUM(O6:R6)</f>
        <v>3000</v>
      </c>
      <c r="U6" s="174">
        <v>750</v>
      </c>
      <c r="V6" s="165">
        <v>45</v>
      </c>
      <c r="W6" s="174">
        <v>105</v>
      </c>
      <c r="X6" s="165">
        <v>2100</v>
      </c>
      <c r="Y6" s="174"/>
      <c r="Z6" s="429"/>
      <c r="AA6" s="469" t="s">
        <v>18</v>
      </c>
      <c r="AB6" s="99">
        <f>175*0.75</f>
        <v>131.25</v>
      </c>
      <c r="AC6" s="99">
        <v>0</v>
      </c>
      <c r="AD6" s="99">
        <v>0</v>
      </c>
      <c r="AE6" s="99">
        <f>249*0.75</f>
        <v>186.75</v>
      </c>
      <c r="AF6" s="99">
        <v>0</v>
      </c>
      <c r="AG6" s="99">
        <f>175*0.75</f>
        <v>131.25</v>
      </c>
      <c r="AH6" s="99">
        <f>10*0.75</f>
        <v>7.5</v>
      </c>
      <c r="AI6" s="99">
        <f>20*0.75</f>
        <v>15</v>
      </c>
      <c r="AJ6" s="99">
        <f>374*0.75</f>
        <v>280.5</v>
      </c>
      <c r="AK6" s="99">
        <v>0</v>
      </c>
      <c r="AL6" s="45">
        <f>175*0.75</f>
        <v>131.25</v>
      </c>
      <c r="AM6" s="45">
        <f>10*0.75</f>
        <v>7.5</v>
      </c>
      <c r="AN6" s="45">
        <f>20*0.75</f>
        <v>15</v>
      </c>
      <c r="AO6" s="45">
        <f>633*0.75</f>
        <v>474.75</v>
      </c>
      <c r="AP6" s="45">
        <v>0</v>
      </c>
      <c r="AQ6" s="45">
        <f>59*0.75</f>
        <v>44.25</v>
      </c>
      <c r="AR6" s="45">
        <f>10*0.75</f>
        <v>7.5</v>
      </c>
      <c r="AS6" s="45">
        <f>20*0.75</f>
        <v>15</v>
      </c>
      <c r="AT6" s="45">
        <f>633*0.75</f>
        <v>474.75</v>
      </c>
      <c r="AU6" s="45">
        <v>0</v>
      </c>
      <c r="AV6" s="45">
        <f>125*0.75</f>
        <v>93.75</v>
      </c>
      <c r="AW6" s="45">
        <v>0</v>
      </c>
      <c r="AX6" s="45">
        <f>20*0.75</f>
        <v>15</v>
      </c>
      <c r="AY6" s="45">
        <f>119*0.75</f>
        <v>89.25</v>
      </c>
      <c r="AZ6" s="45">
        <v>0</v>
      </c>
      <c r="BA6" s="45">
        <f>175*0.75</f>
        <v>131.25</v>
      </c>
      <c r="BB6" s="45">
        <f>10*0.75</f>
        <v>7.5</v>
      </c>
      <c r="BC6" s="45">
        <f>20*0.75</f>
        <v>15</v>
      </c>
      <c r="BD6" s="45">
        <f>242*0.75</f>
        <v>181.5</v>
      </c>
      <c r="BE6" s="45">
        <v>0</v>
      </c>
      <c r="BF6" s="45">
        <f>58*0.75</f>
        <v>43.5</v>
      </c>
      <c r="BG6" s="45">
        <f>10*0.75</f>
        <v>7.5</v>
      </c>
      <c r="BH6" s="45">
        <f>20*0.75</f>
        <v>15</v>
      </c>
      <c r="BI6" s="45">
        <f>357*0.75</f>
        <v>267.75</v>
      </c>
      <c r="BJ6" s="45">
        <v>0</v>
      </c>
      <c r="BK6" s="45">
        <f>58*0.75</f>
        <v>43.5</v>
      </c>
      <c r="BL6" s="45">
        <f>10*0.75</f>
        <v>7.5</v>
      </c>
      <c r="BM6" s="45">
        <f>20*0.75</f>
        <v>15</v>
      </c>
      <c r="BN6" s="45">
        <f>193*0.75</f>
        <v>144.75</v>
      </c>
      <c r="BO6" s="45">
        <v>0</v>
      </c>
    </row>
    <row r="7" spans="1:73" x14ac:dyDescent="0.25">
      <c r="A7" s="434"/>
      <c r="B7" s="71"/>
      <c r="C7" s="71"/>
      <c r="D7" s="106"/>
      <c r="E7" s="71"/>
      <c r="F7" s="71"/>
      <c r="G7" s="71"/>
      <c r="H7" s="71"/>
      <c r="I7" s="71"/>
      <c r="J7" s="71"/>
      <c r="K7" s="71"/>
      <c r="L7" s="71"/>
      <c r="M7" s="71"/>
      <c r="N7" s="71"/>
      <c r="O7" s="71"/>
      <c r="P7" s="71"/>
      <c r="Q7" s="71"/>
      <c r="R7" s="71"/>
      <c r="S7" s="71"/>
      <c r="T7" s="71"/>
      <c r="U7" s="71"/>
      <c r="V7" s="71"/>
      <c r="W7" s="71"/>
      <c r="X7" s="71"/>
      <c r="Y7" s="71"/>
      <c r="Z7" s="475"/>
      <c r="AA7" s="71"/>
      <c r="AB7" s="71"/>
      <c r="AC7" s="71"/>
      <c r="AD7" s="71"/>
      <c r="AE7" s="71"/>
      <c r="AF7" s="71"/>
      <c r="BI7" s="54"/>
      <c r="BJ7" s="54"/>
      <c r="BK7" s="54"/>
      <c r="BL7" s="54"/>
      <c r="BM7" s="54"/>
      <c r="BN7" s="54"/>
      <c r="BO7" s="54"/>
      <c r="BP7" s="54"/>
    </row>
    <row r="8" spans="1:73" s="213" customFormat="1" ht="23.25" customHeight="1" x14ac:dyDescent="0.25">
      <c r="A8" s="604" t="s">
        <v>335</v>
      </c>
      <c r="B8" s="605"/>
      <c r="C8" s="605"/>
      <c r="D8" s="605"/>
      <c r="E8" s="605"/>
      <c r="F8" s="605"/>
      <c r="G8" s="605"/>
      <c r="H8" s="207"/>
      <c r="I8" s="207"/>
      <c r="J8" s="207"/>
      <c r="K8" s="207"/>
      <c r="L8" s="207"/>
      <c r="M8" s="207"/>
      <c r="N8" s="207"/>
      <c r="O8" s="207"/>
      <c r="P8" s="207"/>
      <c r="Q8" s="207"/>
      <c r="R8" s="207"/>
      <c r="S8" s="207"/>
      <c r="T8" s="207"/>
      <c r="U8" s="208"/>
      <c r="V8" s="209"/>
      <c r="W8" s="210"/>
      <c r="X8" s="210"/>
      <c r="Y8" s="211"/>
      <c r="Z8" s="476"/>
      <c r="AA8" s="208"/>
      <c r="AB8" s="208"/>
      <c r="AC8" s="208"/>
      <c r="AD8" s="208"/>
      <c r="AE8" s="208"/>
      <c r="AF8" s="24"/>
      <c r="AG8" s="24"/>
      <c r="AH8" s="24"/>
      <c r="AI8" s="24"/>
      <c r="AJ8" s="24"/>
      <c r="AK8" s="24"/>
      <c r="AL8" s="24"/>
      <c r="AM8" s="24"/>
      <c r="AN8" s="24"/>
      <c r="AO8" s="24"/>
      <c r="AP8" s="24"/>
      <c r="AQ8" s="24"/>
      <c r="AR8" s="24"/>
      <c r="AS8" s="24"/>
      <c r="AT8" s="24"/>
      <c r="AU8" s="212"/>
      <c r="AV8" s="24"/>
      <c r="AW8" s="24"/>
      <c r="AX8" s="24"/>
      <c r="AY8" s="24"/>
      <c r="AZ8" s="24"/>
      <c r="BA8" s="24"/>
      <c r="BB8" s="24"/>
      <c r="BC8" s="24"/>
      <c r="BD8" s="24"/>
      <c r="BE8" s="24"/>
      <c r="BF8" s="24"/>
      <c r="BG8" s="24"/>
      <c r="BH8" s="24"/>
      <c r="BI8" s="58"/>
      <c r="BJ8" s="58"/>
      <c r="BK8" s="58"/>
      <c r="BL8" s="58"/>
      <c r="BM8" s="58"/>
      <c r="BN8" s="58"/>
      <c r="BO8" s="58"/>
      <c r="BP8" s="58"/>
    </row>
    <row r="9" spans="1:73" ht="23.25" x14ac:dyDescent="0.35">
      <c r="A9" s="477"/>
      <c r="B9" s="115"/>
      <c r="C9" s="115"/>
      <c r="D9" s="115"/>
      <c r="E9" s="116"/>
      <c r="F9" s="71"/>
      <c r="G9" s="71"/>
      <c r="H9" s="71"/>
      <c r="I9" s="71"/>
      <c r="J9" s="71"/>
      <c r="K9" s="71"/>
      <c r="L9" s="71"/>
      <c r="M9" s="71"/>
      <c r="N9" s="71"/>
      <c r="O9" s="71"/>
      <c r="P9" s="71"/>
      <c r="Q9" s="71"/>
      <c r="R9" s="71"/>
      <c r="S9" s="71"/>
      <c r="T9" s="71"/>
      <c r="U9" s="113"/>
      <c r="V9" s="133"/>
      <c r="W9" s="133"/>
      <c r="X9" s="133"/>
      <c r="Y9" s="134"/>
      <c r="Z9" s="478"/>
      <c r="AA9" s="113"/>
      <c r="AB9" s="113"/>
      <c r="AC9" s="113"/>
      <c r="AD9" s="113"/>
      <c r="AE9" s="11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row>
    <row r="10" spans="1:73" ht="23.25" x14ac:dyDescent="0.35">
      <c r="A10" s="479"/>
      <c r="B10" s="183" t="s">
        <v>8</v>
      </c>
      <c r="C10" s="190" t="s">
        <v>192</v>
      </c>
      <c r="D10" s="185">
        <v>2019</v>
      </c>
      <c r="E10" s="191">
        <v>2020</v>
      </c>
      <c r="F10" s="116"/>
      <c r="G10" s="116"/>
      <c r="H10" s="116"/>
      <c r="I10" s="199"/>
      <c r="J10" s="199"/>
      <c r="K10" s="199"/>
      <c r="L10" s="199"/>
      <c r="M10" s="117"/>
      <c r="N10" s="117"/>
      <c r="O10" s="117"/>
      <c r="P10" s="117"/>
      <c r="Q10" s="117"/>
      <c r="R10" s="117"/>
      <c r="S10" s="117"/>
      <c r="T10" s="117"/>
      <c r="U10" s="625"/>
      <c r="V10" s="625"/>
      <c r="W10" s="625"/>
      <c r="X10" s="625"/>
      <c r="Y10" s="625"/>
      <c r="Z10" s="626"/>
      <c r="AA10" s="118"/>
      <c r="AB10" s="118"/>
      <c r="AC10" s="118"/>
      <c r="AD10" s="118"/>
      <c r="AE10" s="118"/>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row>
    <row r="11" spans="1:73" ht="38.25" x14ac:dyDescent="0.35">
      <c r="A11" s="480"/>
      <c r="B11" s="186" t="s">
        <v>25</v>
      </c>
      <c r="C11" s="187">
        <f>'Lh Budgetting'!O18*2/3</f>
        <v>17500000</v>
      </c>
      <c r="D11" s="188">
        <f>'Lh Budgetting'!P18*2/3</f>
        <v>17500000</v>
      </c>
      <c r="E11" s="192">
        <f>'Lh Budgetting'!Q18*2/3</f>
        <v>17500000</v>
      </c>
      <c r="F11" s="116"/>
      <c r="G11" s="116"/>
      <c r="H11" s="116"/>
      <c r="I11" s="200"/>
      <c r="J11" s="200"/>
      <c r="K11" s="200"/>
      <c r="L11" s="200"/>
      <c r="M11" s="117"/>
      <c r="N11" s="117"/>
      <c r="O11" s="117"/>
      <c r="P11" s="117"/>
      <c r="Q11" s="117"/>
      <c r="R11" s="117"/>
      <c r="S11" s="117"/>
      <c r="T11" s="117"/>
      <c r="U11" s="353"/>
      <c r="V11" s="353"/>
      <c r="W11" s="353"/>
      <c r="X11" s="353"/>
      <c r="Y11" s="118"/>
      <c r="Z11" s="481"/>
      <c r="AA11" s="118"/>
      <c r="AB11" s="118"/>
      <c r="AC11" s="118"/>
      <c r="AD11" s="118"/>
      <c r="AE11" s="118"/>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row>
    <row r="12" spans="1:73" ht="23.25" customHeight="1" x14ac:dyDescent="0.35">
      <c r="A12" s="479"/>
      <c r="B12" s="132" t="s">
        <v>23</v>
      </c>
      <c r="C12" s="62">
        <v>0.25</v>
      </c>
      <c r="D12" s="63">
        <v>0.2</v>
      </c>
      <c r="E12" s="223">
        <v>0.2</v>
      </c>
      <c r="F12" s="116"/>
      <c r="G12" s="116"/>
      <c r="H12" s="116"/>
      <c r="I12" s="200"/>
      <c r="J12" s="200"/>
      <c r="K12" s="200"/>
      <c r="L12" s="200"/>
      <c r="M12" s="117"/>
      <c r="N12" s="117"/>
      <c r="O12" s="117"/>
      <c r="P12" s="117"/>
      <c r="Q12" s="117"/>
      <c r="R12" s="117"/>
      <c r="S12" s="117"/>
      <c r="T12" s="117"/>
      <c r="U12" s="118"/>
      <c r="V12" s="118"/>
      <c r="W12" s="118"/>
      <c r="X12" s="353"/>
      <c r="Y12" s="353"/>
      <c r="Z12" s="482"/>
      <c r="AA12" s="119"/>
      <c r="AB12" s="119"/>
      <c r="AC12" s="119"/>
      <c r="AD12" s="119"/>
      <c r="AE12" s="118"/>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row>
    <row r="13" spans="1:73" ht="23.25" customHeight="1" x14ac:dyDescent="0.35">
      <c r="A13" s="479"/>
      <c r="B13" s="132" t="s">
        <v>24</v>
      </c>
      <c r="C13" s="62">
        <v>0.75</v>
      </c>
      <c r="D13" s="63">
        <v>0.8</v>
      </c>
      <c r="E13" s="223">
        <v>0.8</v>
      </c>
      <c r="F13" s="116"/>
      <c r="G13" s="116"/>
      <c r="H13" s="116"/>
      <c r="I13" s="200"/>
      <c r="J13" s="200"/>
      <c r="K13" s="200"/>
      <c r="L13" s="200"/>
      <c r="M13" s="117"/>
      <c r="N13" s="117"/>
      <c r="O13" s="117"/>
      <c r="P13" s="117"/>
      <c r="Q13" s="117"/>
      <c r="R13" s="117"/>
      <c r="S13" s="117"/>
      <c r="T13" s="117"/>
      <c r="U13" s="118"/>
      <c r="V13" s="118"/>
      <c r="W13" s="118"/>
      <c r="X13" s="353"/>
      <c r="Y13" s="353"/>
      <c r="Z13" s="482"/>
      <c r="AA13" s="119"/>
      <c r="AB13" s="119"/>
      <c r="AC13" s="119"/>
      <c r="AD13" s="119"/>
      <c r="AE13" s="118"/>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row>
    <row r="14" spans="1:73" ht="23.25" x14ac:dyDescent="0.35">
      <c r="A14" s="479"/>
      <c r="B14" s="110"/>
      <c r="C14" s="110"/>
      <c r="D14" s="117"/>
      <c r="E14" s="117"/>
      <c r="F14" s="117"/>
      <c r="G14" s="117"/>
      <c r="H14" s="117"/>
      <c r="I14" s="117"/>
      <c r="J14" s="117"/>
      <c r="K14" s="117"/>
      <c r="L14" s="117"/>
      <c r="M14" s="117"/>
      <c r="N14" s="117"/>
      <c r="O14" s="117"/>
      <c r="P14" s="117"/>
      <c r="Q14" s="117"/>
      <c r="R14" s="117"/>
      <c r="S14" s="117"/>
      <c r="T14" s="117"/>
      <c r="U14" s="47"/>
      <c r="V14" s="47"/>
      <c r="W14" s="47"/>
      <c r="X14" s="47"/>
      <c r="Y14" s="47"/>
      <c r="Z14" s="429"/>
      <c r="AA14" s="118"/>
      <c r="AB14" s="118"/>
      <c r="AC14" s="118"/>
      <c r="AD14" s="118"/>
      <c r="AE14" s="118"/>
      <c r="AF14" s="118"/>
      <c r="AG14" s="118"/>
      <c r="AH14" s="120" t="s">
        <v>193</v>
      </c>
      <c r="AI14" s="121"/>
      <c r="AJ14" s="121"/>
      <c r="AK14" s="121"/>
      <c r="AL14" s="5"/>
      <c r="AM14" s="5"/>
      <c r="AN14" s="5"/>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3" ht="21" x14ac:dyDescent="0.35">
      <c r="A15" s="629" t="s">
        <v>186</v>
      </c>
      <c r="B15" s="630"/>
      <c r="C15" s="630"/>
      <c r="D15" s="630"/>
      <c r="E15" s="630"/>
      <c r="F15" s="630"/>
      <c r="G15" s="631"/>
      <c r="H15" s="591" t="s">
        <v>191</v>
      </c>
      <c r="I15" s="592"/>
      <c r="J15" s="592"/>
      <c r="K15" s="592"/>
      <c r="L15" s="592"/>
      <c r="M15" s="593"/>
      <c r="N15" s="594" t="s">
        <v>211</v>
      </c>
      <c r="O15" s="595"/>
      <c r="P15" s="595"/>
      <c r="Q15" s="595"/>
      <c r="R15" s="595"/>
      <c r="S15" s="596"/>
      <c r="T15" s="559" t="s">
        <v>231</v>
      </c>
      <c r="U15" s="560"/>
      <c r="V15" s="560"/>
      <c r="W15" s="560"/>
      <c r="X15" s="560"/>
      <c r="Y15" s="561"/>
      <c r="Z15" s="429"/>
      <c r="AA15" s="110"/>
      <c r="AB15" s="637" t="s">
        <v>10</v>
      </c>
      <c r="AC15" s="637"/>
      <c r="AD15" s="637"/>
      <c r="AE15" s="637"/>
      <c r="AF15" s="637"/>
      <c r="AG15" s="634" t="s">
        <v>15</v>
      </c>
      <c r="AH15" s="635"/>
      <c r="AI15" s="635"/>
      <c r="AJ15" s="635"/>
      <c r="AK15" s="636"/>
      <c r="AL15" s="634" t="s">
        <v>22</v>
      </c>
      <c r="AM15" s="635"/>
      <c r="AN15" s="635"/>
      <c r="AO15" s="635"/>
      <c r="AP15" s="636"/>
      <c r="AQ15" s="634" t="s">
        <v>12</v>
      </c>
      <c r="AR15" s="635"/>
      <c r="AS15" s="635"/>
      <c r="AT15" s="635"/>
      <c r="AU15" s="636"/>
      <c r="AV15" s="634" t="s">
        <v>13</v>
      </c>
      <c r="AW15" s="635"/>
      <c r="AX15" s="635"/>
      <c r="AY15" s="635"/>
      <c r="AZ15" s="636"/>
      <c r="BA15" s="634" t="s">
        <v>11</v>
      </c>
      <c r="BB15" s="635"/>
      <c r="BC15" s="635"/>
      <c r="BD15" s="635"/>
      <c r="BE15" s="636"/>
      <c r="BF15" s="634" t="s">
        <v>16</v>
      </c>
      <c r="BG15" s="635"/>
      <c r="BH15" s="635"/>
      <c r="BI15" s="635"/>
      <c r="BJ15" s="636"/>
      <c r="BK15" s="634" t="s">
        <v>14</v>
      </c>
      <c r="BL15" s="635"/>
      <c r="BM15" s="635"/>
      <c r="BN15" s="635"/>
      <c r="BO15" s="636"/>
    </row>
    <row r="16" spans="1:73" ht="34.5" customHeight="1" thickBot="1" x14ac:dyDescent="0.3">
      <c r="A16" s="430" t="s">
        <v>5</v>
      </c>
      <c r="B16" s="34" t="s">
        <v>7</v>
      </c>
      <c r="C16" s="34" t="s">
        <v>2</v>
      </c>
      <c r="D16" s="627" t="s">
        <v>46</v>
      </c>
      <c r="E16" s="628"/>
      <c r="F16" s="350" t="s">
        <v>9</v>
      </c>
      <c r="G16" s="350" t="s">
        <v>0</v>
      </c>
      <c r="H16" s="278" t="s">
        <v>348</v>
      </c>
      <c r="I16" s="29" t="s">
        <v>20</v>
      </c>
      <c r="J16" s="28" t="s">
        <v>28</v>
      </c>
      <c r="K16" s="29" t="s">
        <v>27</v>
      </c>
      <c r="L16" s="28" t="s">
        <v>21</v>
      </c>
      <c r="M16" s="29" t="s">
        <v>34</v>
      </c>
      <c r="N16" s="278" t="s">
        <v>297</v>
      </c>
      <c r="O16" s="37" t="s">
        <v>20</v>
      </c>
      <c r="P16" s="40" t="s">
        <v>28</v>
      </c>
      <c r="Q16" s="37" t="s">
        <v>27</v>
      </c>
      <c r="R16" s="40" t="s">
        <v>21</v>
      </c>
      <c r="S16" s="37" t="s">
        <v>34</v>
      </c>
      <c r="T16" s="278" t="s">
        <v>298</v>
      </c>
      <c r="U16" s="172" t="s">
        <v>20</v>
      </c>
      <c r="V16" s="171" t="s">
        <v>28</v>
      </c>
      <c r="W16" s="172" t="s">
        <v>27</v>
      </c>
      <c r="X16" s="171" t="s">
        <v>21</v>
      </c>
      <c r="Y16" s="172" t="s">
        <v>34</v>
      </c>
      <c r="Z16" s="429"/>
      <c r="AA16" s="110"/>
      <c r="AB16" s="179" t="s">
        <v>20</v>
      </c>
      <c r="AC16" s="179" t="s">
        <v>28</v>
      </c>
      <c r="AD16" s="179" t="s">
        <v>27</v>
      </c>
      <c r="AE16" s="179" t="s">
        <v>21</v>
      </c>
      <c r="AF16" s="179" t="s">
        <v>34</v>
      </c>
      <c r="AG16" s="179" t="s">
        <v>20</v>
      </c>
      <c r="AH16" s="179" t="s">
        <v>28</v>
      </c>
      <c r="AI16" s="179" t="s">
        <v>27</v>
      </c>
      <c r="AJ16" s="179" t="s">
        <v>21</v>
      </c>
      <c r="AK16" s="179" t="s">
        <v>34</v>
      </c>
      <c r="AL16" s="179" t="s">
        <v>20</v>
      </c>
      <c r="AM16" s="179" t="s">
        <v>28</v>
      </c>
      <c r="AN16" s="179" t="s">
        <v>27</v>
      </c>
      <c r="AO16" s="179" t="s">
        <v>21</v>
      </c>
      <c r="AP16" s="179" t="s">
        <v>34</v>
      </c>
      <c r="AQ16" s="179" t="s">
        <v>20</v>
      </c>
      <c r="AR16" s="179" t="s">
        <v>28</v>
      </c>
      <c r="AS16" s="179" t="s">
        <v>27</v>
      </c>
      <c r="AT16" s="179" t="s">
        <v>21</v>
      </c>
      <c r="AU16" s="179" t="s">
        <v>34</v>
      </c>
      <c r="AV16" s="179" t="s">
        <v>20</v>
      </c>
      <c r="AW16" s="179" t="s">
        <v>28</v>
      </c>
      <c r="AX16" s="179" t="s">
        <v>27</v>
      </c>
      <c r="AY16" s="179" t="s">
        <v>21</v>
      </c>
      <c r="AZ16" s="179" t="s">
        <v>34</v>
      </c>
      <c r="BA16" s="179" t="s">
        <v>20</v>
      </c>
      <c r="BB16" s="179" t="s">
        <v>28</v>
      </c>
      <c r="BC16" s="179" t="s">
        <v>27</v>
      </c>
      <c r="BD16" s="179" t="s">
        <v>21</v>
      </c>
      <c r="BE16" s="179" t="s">
        <v>34</v>
      </c>
      <c r="BF16" s="179" t="s">
        <v>20</v>
      </c>
      <c r="BG16" s="179" t="s">
        <v>28</v>
      </c>
      <c r="BH16" s="179" t="s">
        <v>27</v>
      </c>
      <c r="BI16" s="179" t="s">
        <v>21</v>
      </c>
      <c r="BJ16" s="179" t="s">
        <v>34</v>
      </c>
      <c r="BK16" s="179" t="s">
        <v>20</v>
      </c>
      <c r="BL16" s="179" t="s">
        <v>28</v>
      </c>
      <c r="BM16" s="179" t="s">
        <v>27</v>
      </c>
      <c r="BN16" s="179" t="s">
        <v>21</v>
      </c>
      <c r="BO16" s="179" t="s">
        <v>34</v>
      </c>
    </row>
    <row r="17" spans="1:73" ht="72.75" customHeight="1" x14ac:dyDescent="0.25">
      <c r="A17" s="431" t="s">
        <v>17</v>
      </c>
      <c r="B17" s="8" t="s">
        <v>165</v>
      </c>
      <c r="C17" s="8" t="s">
        <v>166</v>
      </c>
      <c r="D17" s="632" t="s">
        <v>99</v>
      </c>
      <c r="E17" s="633"/>
      <c r="F17" s="8" t="s">
        <v>93</v>
      </c>
      <c r="G17" s="8" t="s">
        <v>94</v>
      </c>
      <c r="H17" s="255" t="s">
        <v>351</v>
      </c>
      <c r="I17" s="35">
        <f>5000*0.75</f>
        <v>3750</v>
      </c>
      <c r="J17" s="33">
        <f>300*0.75</f>
        <v>225</v>
      </c>
      <c r="K17" s="32">
        <f>700*0.75</f>
        <v>525</v>
      </c>
      <c r="L17" s="33">
        <f>14000*0.75</f>
        <v>10500</v>
      </c>
      <c r="M17" s="32"/>
      <c r="N17" s="255">
        <f>SUM(I17:L17)</f>
        <v>15000</v>
      </c>
      <c r="O17" s="38">
        <v>3750</v>
      </c>
      <c r="P17" s="41">
        <v>225</v>
      </c>
      <c r="Q17" s="39">
        <v>525</v>
      </c>
      <c r="R17" s="41">
        <v>10500</v>
      </c>
      <c r="S17" s="39"/>
      <c r="T17" s="255">
        <f>SUM(O17:R17)</f>
        <v>15000</v>
      </c>
      <c r="U17" s="174">
        <v>3750</v>
      </c>
      <c r="V17" s="136">
        <v>225</v>
      </c>
      <c r="W17" s="173">
        <v>525</v>
      </c>
      <c r="X17" s="136">
        <v>10500</v>
      </c>
      <c r="Y17" s="173"/>
      <c r="Z17" s="429"/>
      <c r="AA17" s="330" t="s">
        <v>17</v>
      </c>
      <c r="AB17" s="45">
        <f>791.3906*0.75</f>
        <v>593.54295000000002</v>
      </c>
      <c r="AC17" s="45">
        <v>0</v>
      </c>
      <c r="AD17" s="45">
        <v>0</v>
      </c>
      <c r="AE17" s="45">
        <f>1306.40274267662*0.75</f>
        <v>979.80205700746501</v>
      </c>
      <c r="AF17" s="45"/>
      <c r="AG17" s="45">
        <f>791.3906*0.75</f>
        <v>593.54295000000002</v>
      </c>
      <c r="AH17" s="45">
        <f>42.185*0.75</f>
        <v>31.638750000000002</v>
      </c>
      <c r="AI17" s="45">
        <f>84.37*0.75</f>
        <v>63.277500000000003</v>
      </c>
      <c r="AJ17" s="45">
        <f>1961.68114589316*0.75</f>
        <v>1471.26085941987</v>
      </c>
      <c r="AK17" s="45"/>
      <c r="AL17" s="45">
        <f>791.3906*0.75</f>
        <v>593.54295000000002</v>
      </c>
      <c r="AM17" s="45">
        <f>42.185*0.75</f>
        <v>31.638750000000002</v>
      </c>
      <c r="AN17" s="45">
        <f>84.37*0.75</f>
        <v>63.277500000000003</v>
      </c>
      <c r="AO17" s="45">
        <f>3314.36792073521*0.75</f>
        <v>2485.7759405514075</v>
      </c>
      <c r="AP17" s="45"/>
      <c r="AQ17" s="45">
        <f>263.65625*0.75</f>
        <v>197.7421875</v>
      </c>
      <c r="AR17" s="45">
        <f>42.185*0.75</f>
        <v>31.638750000000002</v>
      </c>
      <c r="AS17" s="45">
        <f>84.37*0.75</f>
        <v>63.277500000000003</v>
      </c>
      <c r="AT17" s="45">
        <f>3314.36792073521*0.75</f>
        <v>2485.7759405514075</v>
      </c>
      <c r="AU17" s="45"/>
      <c r="AV17" s="45">
        <f>527.3125*0.75</f>
        <v>395.484375</v>
      </c>
      <c r="AW17" s="45"/>
      <c r="AX17" s="45">
        <f>84.37*0.75</f>
        <v>63.277500000000003</v>
      </c>
      <c r="AY17" s="45">
        <f>621.614675473865*0.75</f>
        <v>466.21100660539872</v>
      </c>
      <c r="AZ17" s="45"/>
      <c r="BA17" s="45">
        <f>791.3906*0.75</f>
        <v>593.54295000000002</v>
      </c>
      <c r="BB17" s="45">
        <f>42.185*0.75</f>
        <v>31.638750000000002</v>
      </c>
      <c r="BC17" s="45">
        <f>84.37*0.75</f>
        <v>63.277500000000003</v>
      </c>
      <c r="BD17" s="45">
        <f>1268.28309879379*0.75</f>
        <v>951.21232409534252</v>
      </c>
      <c r="BE17" s="45"/>
      <c r="BF17" s="45">
        <f>264.0781*0.75</f>
        <v>198.05857500000002</v>
      </c>
      <c r="BG17" s="45">
        <f>42.185*0.75</f>
        <v>31.638750000000002</v>
      </c>
      <c r="BH17" s="45">
        <f>84.37*0.75</f>
        <v>63.277500000000003</v>
      </c>
      <c r="BI17" s="45">
        <f>1871.55664847788*0.75</f>
        <v>1403.6674863584099</v>
      </c>
      <c r="BJ17" s="45"/>
      <c r="BK17" s="45">
        <f>264.0781*0.75</f>
        <v>198.05857500000002</v>
      </c>
      <c r="BL17" s="45">
        <f>42.185*0.75</f>
        <v>31.638750000000002</v>
      </c>
      <c r="BM17" s="45">
        <f>84.37*0.75</f>
        <v>63.277500000000003</v>
      </c>
      <c r="BN17" s="45">
        <f>1012.88723434807*0.75</f>
        <v>759.66542576105257</v>
      </c>
      <c r="BO17" s="45"/>
    </row>
    <row r="18" spans="1:73" x14ac:dyDescent="0.25">
      <c r="A18" s="428"/>
      <c r="B18" s="47"/>
      <c r="C18" s="47"/>
      <c r="D18" s="47"/>
      <c r="E18" s="47"/>
      <c r="F18" s="47"/>
      <c r="G18" s="47"/>
      <c r="H18" s="47"/>
      <c r="I18" s="47"/>
      <c r="J18" s="47"/>
      <c r="K18" s="47"/>
      <c r="L18" s="47"/>
      <c r="M18" s="47"/>
      <c r="N18" s="47"/>
      <c r="O18" s="47"/>
      <c r="P18" s="47"/>
      <c r="Q18" s="47"/>
      <c r="R18" s="47"/>
      <c r="S18" s="47"/>
      <c r="T18" s="47"/>
      <c r="U18" s="47"/>
      <c r="V18" s="47"/>
      <c r="W18" s="47"/>
      <c r="X18" s="47"/>
      <c r="Y18" s="47"/>
      <c r="Z18" s="429"/>
    </row>
    <row r="19" spans="1:73" ht="23.25" x14ac:dyDescent="0.35">
      <c r="A19" s="479"/>
      <c r="B19" s="117"/>
      <c r="C19" s="117"/>
      <c r="D19" s="117"/>
      <c r="E19" s="117"/>
      <c r="F19" s="117"/>
      <c r="G19" s="117"/>
      <c r="H19" s="117"/>
      <c r="I19" s="117"/>
      <c r="J19" s="117"/>
      <c r="K19" s="117"/>
      <c r="L19" s="117"/>
      <c r="M19" s="117"/>
      <c r="N19" s="117"/>
      <c r="O19" s="117"/>
      <c r="P19" s="117"/>
      <c r="Q19" s="117"/>
      <c r="R19" s="110"/>
      <c r="S19" s="110"/>
      <c r="T19" s="110"/>
      <c r="U19" s="110"/>
      <c r="V19" s="110"/>
      <c r="W19" s="110"/>
      <c r="X19" s="110"/>
      <c r="Y19" s="110"/>
      <c r="Z19" s="483"/>
      <c r="AA19" s="118"/>
      <c r="AB19" s="118"/>
      <c r="AC19" s="110"/>
      <c r="AD19" s="110"/>
      <c r="AE19" s="110"/>
      <c r="AF19" s="47"/>
      <c r="AG19" s="64"/>
      <c r="AH19" s="65"/>
      <c r="AI19" s="65"/>
      <c r="AJ19" s="65"/>
      <c r="AK19" s="65"/>
      <c r="AL19" s="65"/>
      <c r="AM19" s="65"/>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4"/>
      <c r="BU19" s="54"/>
    </row>
    <row r="20" spans="1:73" ht="23.25" x14ac:dyDescent="0.35">
      <c r="A20" s="484" t="s">
        <v>187</v>
      </c>
      <c r="B20" s="351"/>
      <c r="C20" s="351"/>
      <c r="D20" s="351"/>
      <c r="E20" s="351"/>
      <c r="F20" s="351"/>
      <c r="G20" s="352"/>
      <c r="H20" s="117"/>
      <c r="I20" s="117"/>
      <c r="J20" s="117"/>
      <c r="K20" s="117"/>
      <c r="L20" s="117"/>
      <c r="M20" s="117"/>
      <c r="N20" s="117"/>
      <c r="O20" s="69"/>
      <c r="P20" s="69"/>
      <c r="Q20" s="69"/>
      <c r="R20" s="69"/>
      <c r="S20" s="69"/>
      <c r="T20" s="69"/>
      <c r="U20" s="69"/>
      <c r="V20" s="69"/>
      <c r="W20" s="69"/>
      <c r="X20" s="69"/>
      <c r="Y20" s="69"/>
      <c r="Z20" s="485"/>
      <c r="AA20" s="110"/>
      <c r="AB20" s="110"/>
      <c r="AC20" s="110"/>
      <c r="AD20" s="110"/>
      <c r="AE20" s="110"/>
      <c r="AF20" s="47"/>
      <c r="AG20" s="54"/>
      <c r="AH20" s="590"/>
      <c r="AI20" s="590"/>
      <c r="AJ20" s="590"/>
      <c r="AK20" s="590"/>
      <c r="AL20" s="590"/>
      <c r="AM20" s="590"/>
      <c r="AN20" s="590"/>
      <c r="AO20" s="590"/>
      <c r="AP20" s="590"/>
      <c r="AQ20" s="590"/>
      <c r="AR20" s="590"/>
      <c r="AS20" s="590"/>
      <c r="AT20" s="590"/>
      <c r="AU20" s="590"/>
      <c r="AV20" s="590"/>
      <c r="AW20" s="590"/>
      <c r="AX20" s="590"/>
      <c r="AY20" s="590"/>
      <c r="AZ20" s="590"/>
      <c r="BA20" s="590"/>
      <c r="BB20" s="590"/>
      <c r="BC20" s="590"/>
      <c r="BD20" s="590"/>
      <c r="BE20" s="590"/>
      <c r="BF20" s="590"/>
      <c r="BG20" s="590"/>
      <c r="BH20" s="590"/>
      <c r="BI20" s="590"/>
      <c r="BJ20" s="590"/>
      <c r="BK20" s="590"/>
      <c r="BL20" s="590"/>
      <c r="BM20" s="590"/>
      <c r="BN20" s="590"/>
      <c r="BO20" s="590"/>
      <c r="BP20" s="590"/>
      <c r="BQ20" s="590"/>
      <c r="BR20" s="590"/>
      <c r="BS20" s="590"/>
      <c r="BT20" s="590"/>
      <c r="BU20" s="590"/>
    </row>
    <row r="21" spans="1:73" ht="23.25" x14ac:dyDescent="0.35">
      <c r="A21" s="581" t="s">
        <v>188</v>
      </c>
      <c r="B21" s="582"/>
      <c r="C21" s="582"/>
      <c r="D21" s="582"/>
      <c r="E21" s="582"/>
      <c r="F21" s="582"/>
      <c r="G21" s="583"/>
      <c r="H21" s="117"/>
      <c r="I21" s="117"/>
      <c r="J21" s="117"/>
      <c r="K21" s="117"/>
      <c r="L21" s="117"/>
      <c r="M21" s="117"/>
      <c r="N21" s="117"/>
      <c r="O21" s="70"/>
      <c r="P21" s="70"/>
      <c r="Q21" s="110"/>
      <c r="R21" s="110"/>
      <c r="S21" s="110"/>
      <c r="T21" s="110"/>
      <c r="U21" s="110"/>
      <c r="V21" s="110"/>
      <c r="W21" s="110"/>
      <c r="X21" s="110"/>
      <c r="Y21" s="110"/>
      <c r="Z21" s="475"/>
      <c r="AA21" s="122"/>
      <c r="AB21" s="122"/>
      <c r="AC21" s="122"/>
      <c r="AD21" s="122"/>
      <c r="AE21" s="122"/>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54"/>
    </row>
    <row r="22" spans="1:73" ht="23.25" x14ac:dyDescent="0.35">
      <c r="A22" s="479"/>
      <c r="B22" s="110"/>
      <c r="C22" s="110"/>
      <c r="D22" s="110"/>
      <c r="E22" s="110"/>
      <c r="F22" s="110"/>
      <c r="G22" s="110"/>
      <c r="H22" s="117"/>
      <c r="I22" s="110"/>
      <c r="J22" s="110"/>
      <c r="K22" s="110"/>
      <c r="L22" s="110"/>
      <c r="M22" s="110"/>
      <c r="N22" s="110"/>
      <c r="O22" s="110"/>
      <c r="P22" s="110"/>
      <c r="Q22" s="110"/>
      <c r="R22" s="110"/>
      <c r="S22" s="110"/>
      <c r="T22" s="110"/>
      <c r="U22" s="110"/>
      <c r="V22" s="110"/>
      <c r="W22" s="110"/>
      <c r="X22" s="110"/>
      <c r="Y22" s="110"/>
      <c r="Z22" s="483"/>
      <c r="AA22" s="111"/>
      <c r="AB22" s="111"/>
      <c r="AC22" s="111"/>
      <c r="AD22" s="111"/>
      <c r="AE22" s="111"/>
    </row>
    <row r="23" spans="1:73" ht="23.25" x14ac:dyDescent="0.35">
      <c r="A23" s="629" t="s">
        <v>189</v>
      </c>
      <c r="B23" s="630"/>
      <c r="C23" s="630"/>
      <c r="D23" s="630"/>
      <c r="E23" s="630"/>
      <c r="F23" s="630"/>
      <c r="G23" s="631"/>
      <c r="H23" s="117"/>
      <c r="I23" s="110"/>
      <c r="J23" s="110"/>
      <c r="K23" s="110"/>
      <c r="L23" s="110"/>
      <c r="M23" s="110"/>
      <c r="N23" s="110"/>
      <c r="O23" s="110"/>
      <c r="P23" s="110"/>
      <c r="Q23" s="110"/>
      <c r="R23" s="110"/>
      <c r="S23" s="110"/>
      <c r="T23" s="110"/>
      <c r="U23" s="110"/>
      <c r="V23" s="346"/>
      <c r="W23" s="346"/>
      <c r="X23" s="346"/>
      <c r="Y23" s="346"/>
      <c r="Z23" s="442"/>
      <c r="AA23" s="109"/>
      <c r="AB23" s="109"/>
      <c r="AC23" s="109"/>
      <c r="AD23" s="109"/>
      <c r="AE23" s="109"/>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row>
    <row r="24" spans="1:73" ht="21" x14ac:dyDescent="0.35">
      <c r="A24" s="486"/>
      <c r="B24" s="101"/>
      <c r="C24" s="101"/>
      <c r="D24" s="101"/>
      <c r="E24" s="101"/>
      <c r="F24" s="101"/>
      <c r="G24" s="101"/>
      <c r="H24" s="101"/>
      <c r="I24" s="102"/>
      <c r="J24" s="102"/>
      <c r="K24" s="102"/>
      <c r="L24" s="102"/>
      <c r="M24" s="102"/>
      <c r="N24" s="102"/>
      <c r="O24" s="102"/>
      <c r="P24" s="102"/>
      <c r="Q24" s="102"/>
      <c r="R24" s="102"/>
      <c r="S24" s="102"/>
      <c r="T24" s="114"/>
      <c r="U24" s="114"/>
      <c r="V24" s="346"/>
      <c r="W24" s="346"/>
      <c r="X24" s="346"/>
      <c r="Y24" s="346"/>
      <c r="Z24" s="442"/>
      <c r="AA24" s="109"/>
      <c r="AB24" s="109"/>
      <c r="AC24" s="109"/>
      <c r="AD24" s="109"/>
      <c r="AE24" s="109"/>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3"/>
      <c r="BK24" s="103"/>
      <c r="BL24" s="103"/>
      <c r="BM24" s="103"/>
      <c r="BN24" s="103"/>
      <c r="BO24" s="103"/>
      <c r="BP24" s="103"/>
      <c r="BQ24" s="103"/>
      <c r="BR24" s="103"/>
      <c r="BS24" s="103"/>
      <c r="BT24" s="103"/>
    </row>
    <row r="25" spans="1:73" s="213" customFormat="1" ht="23.25" customHeight="1" x14ac:dyDescent="0.35">
      <c r="A25" s="604" t="s">
        <v>303</v>
      </c>
      <c r="B25" s="605"/>
      <c r="C25" s="605"/>
      <c r="D25" s="605"/>
      <c r="E25" s="605"/>
      <c r="F25" s="605"/>
      <c r="G25" s="605"/>
      <c r="H25" s="112"/>
      <c r="I25" s="214"/>
      <c r="J25" s="214"/>
      <c r="K25" s="214"/>
      <c r="L25" s="214"/>
      <c r="M25" s="214"/>
      <c r="N25" s="214"/>
      <c r="O25" s="214"/>
      <c r="P25" s="214"/>
      <c r="Q25" s="214"/>
      <c r="R25" s="214"/>
      <c r="S25" s="214"/>
      <c r="T25" s="208"/>
      <c r="U25" s="208"/>
      <c r="V25" s="210"/>
      <c r="W25" s="210"/>
      <c r="X25" s="210"/>
      <c r="Y25" s="210"/>
      <c r="Z25" s="487"/>
      <c r="AA25" s="210"/>
      <c r="AB25" s="210"/>
      <c r="AC25" s="210"/>
      <c r="AD25" s="210"/>
      <c r="AE25" s="210"/>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row>
    <row r="26" spans="1:73" ht="23.25" x14ac:dyDescent="0.35">
      <c r="A26" s="477"/>
      <c r="B26" s="115"/>
      <c r="C26" s="123"/>
      <c r="D26" s="115"/>
      <c r="E26" s="116"/>
      <c r="F26" s="116"/>
      <c r="G26" s="116"/>
      <c r="H26" s="116"/>
      <c r="I26" s="116"/>
      <c r="J26" s="116"/>
      <c r="K26" s="116"/>
      <c r="L26" s="116"/>
      <c r="M26" s="116"/>
      <c r="N26" s="116"/>
      <c r="O26" s="116"/>
      <c r="P26" s="116"/>
      <c r="Q26" s="116"/>
      <c r="R26" s="116"/>
      <c r="S26" s="116"/>
      <c r="T26" s="116"/>
      <c r="U26" s="113"/>
      <c r="V26" s="113"/>
      <c r="W26" s="113"/>
      <c r="X26" s="113"/>
      <c r="Y26" s="113"/>
      <c r="Z26" s="478"/>
      <c r="AA26" s="113"/>
      <c r="AB26" s="113"/>
      <c r="AC26" s="113"/>
      <c r="AD26" s="113"/>
      <c r="AE26" s="11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row>
    <row r="27" spans="1:73" ht="23.25" x14ac:dyDescent="0.35">
      <c r="A27" s="479"/>
      <c r="B27" s="183" t="s">
        <v>8</v>
      </c>
      <c r="C27" s="190" t="s">
        <v>192</v>
      </c>
      <c r="D27" s="185">
        <v>2019</v>
      </c>
      <c r="E27" s="191">
        <v>2020</v>
      </c>
      <c r="F27" s="116"/>
      <c r="G27" s="116"/>
      <c r="H27" s="116"/>
      <c r="I27" s="116"/>
      <c r="J27" s="116"/>
      <c r="K27" s="116"/>
      <c r="L27" s="116"/>
      <c r="M27" s="117"/>
      <c r="N27" s="117"/>
      <c r="O27" s="117"/>
      <c r="P27" s="117"/>
      <c r="Q27" s="117"/>
      <c r="R27" s="117"/>
      <c r="S27" s="117"/>
      <c r="T27" s="117"/>
      <c r="U27" s="625"/>
      <c r="V27" s="625"/>
      <c r="W27" s="625"/>
      <c r="X27" s="625"/>
      <c r="Y27" s="625"/>
      <c r="Z27" s="626"/>
      <c r="AA27" s="118"/>
      <c r="AB27" s="118"/>
      <c r="AC27" s="118"/>
      <c r="AD27" s="118"/>
      <c r="AE27" s="118"/>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row>
    <row r="28" spans="1:73" ht="38.25" x14ac:dyDescent="0.35">
      <c r="A28" s="480"/>
      <c r="B28" s="186" t="s">
        <v>25</v>
      </c>
      <c r="C28" s="187">
        <f>'Lh Budgetting'!O18*1/3</f>
        <v>8750000</v>
      </c>
      <c r="D28" s="188">
        <f>'Lh Budgetting'!P18*1/3</f>
        <v>8750000</v>
      </c>
      <c r="E28" s="192">
        <f>'Lh Budgetting'!Q18*1/3</f>
        <v>8750000</v>
      </c>
      <c r="F28" s="116"/>
      <c r="G28" s="135"/>
      <c r="H28" s="135"/>
      <c r="I28" s="116"/>
      <c r="J28" s="116"/>
      <c r="K28" s="116"/>
      <c r="L28" s="116"/>
      <c r="M28" s="117"/>
      <c r="N28" s="117"/>
      <c r="O28" s="117"/>
      <c r="P28" s="117"/>
      <c r="Q28" s="117"/>
      <c r="R28" s="117"/>
      <c r="S28" s="117"/>
      <c r="T28" s="117"/>
      <c r="U28" s="353"/>
      <c r="V28" s="353"/>
      <c r="W28" s="353"/>
      <c r="X28" s="353"/>
      <c r="Y28" s="118"/>
      <c r="Z28" s="481"/>
      <c r="AA28" s="118"/>
      <c r="AB28" s="118"/>
      <c r="AC28" s="118"/>
      <c r="AD28" s="118"/>
      <c r="AE28" s="118"/>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row>
    <row r="29" spans="1:73" ht="23.25" customHeight="1" x14ac:dyDescent="0.35">
      <c r="A29" s="479"/>
      <c r="B29" s="132" t="s">
        <v>23</v>
      </c>
      <c r="C29" s="62">
        <v>0.25</v>
      </c>
      <c r="D29" s="63">
        <v>0.2</v>
      </c>
      <c r="E29" s="223">
        <v>0.2</v>
      </c>
      <c r="F29" s="116"/>
      <c r="G29" s="116"/>
      <c r="H29" s="116"/>
      <c r="I29" s="116"/>
      <c r="J29" s="116"/>
      <c r="K29" s="116"/>
      <c r="L29" s="116"/>
      <c r="M29" s="117"/>
      <c r="N29" s="117"/>
      <c r="O29" s="117"/>
      <c r="P29" s="117"/>
      <c r="Q29" s="117"/>
      <c r="R29" s="117"/>
      <c r="S29" s="117"/>
      <c r="T29" s="117"/>
      <c r="U29" s="118"/>
      <c r="V29" s="118"/>
      <c r="W29" s="118"/>
      <c r="X29" s="353"/>
      <c r="Y29" s="353"/>
      <c r="Z29" s="482"/>
      <c r="AA29" s="119"/>
      <c r="AB29" s="119"/>
      <c r="AC29" s="119"/>
      <c r="AD29" s="119"/>
      <c r="AE29" s="118"/>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row>
    <row r="30" spans="1:73" ht="23.25" customHeight="1" x14ac:dyDescent="0.35">
      <c r="A30" s="479"/>
      <c r="B30" s="132" t="s">
        <v>24</v>
      </c>
      <c r="C30" s="62">
        <v>0.75</v>
      </c>
      <c r="D30" s="63">
        <v>0.8</v>
      </c>
      <c r="E30" s="223">
        <v>0.8</v>
      </c>
      <c r="F30" s="116"/>
      <c r="G30" s="116"/>
      <c r="H30" s="116"/>
      <c r="I30" s="116"/>
      <c r="J30" s="116"/>
      <c r="K30" s="116"/>
      <c r="L30" s="116"/>
      <c r="M30" s="117"/>
      <c r="N30" s="117"/>
      <c r="O30" s="117"/>
      <c r="P30" s="117"/>
      <c r="Q30" s="117"/>
      <c r="R30" s="117"/>
      <c r="S30" s="117"/>
      <c r="T30" s="117"/>
      <c r="U30" s="118"/>
      <c r="V30" s="118"/>
      <c r="W30" s="118"/>
      <c r="X30" s="353"/>
      <c r="Y30" s="353"/>
      <c r="Z30" s="482"/>
      <c r="AA30" s="119"/>
      <c r="AB30" s="119"/>
      <c r="AC30" s="119"/>
      <c r="AD30" s="119"/>
      <c r="AE30" s="118"/>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row>
    <row r="31" spans="1:73" ht="23.25" x14ac:dyDescent="0.35">
      <c r="A31" s="479"/>
      <c r="B31" s="117"/>
      <c r="C31" s="117"/>
      <c r="D31" s="117"/>
      <c r="E31" s="117"/>
      <c r="F31" s="117"/>
      <c r="G31" s="117"/>
      <c r="H31" s="117"/>
      <c r="I31" s="117"/>
      <c r="J31" s="117"/>
      <c r="K31" s="117"/>
      <c r="L31" s="117"/>
      <c r="M31" s="117"/>
      <c r="N31" s="117"/>
      <c r="O31" s="117"/>
      <c r="P31" s="117"/>
      <c r="Q31" s="117"/>
      <c r="R31" s="117"/>
      <c r="S31" s="117"/>
      <c r="T31" s="117"/>
      <c r="U31" s="118"/>
      <c r="V31" s="118"/>
      <c r="W31" s="118"/>
      <c r="X31" s="353"/>
      <c r="Y31" s="353"/>
      <c r="Z31" s="482"/>
      <c r="AA31" s="119"/>
      <c r="AB31" s="119"/>
      <c r="AC31" s="119"/>
      <c r="AD31" s="119"/>
      <c r="AE31" s="118"/>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row>
    <row r="32" spans="1:73" ht="23.25" x14ac:dyDescent="0.35">
      <c r="A32" s="479"/>
      <c r="B32" s="117"/>
      <c r="C32" s="117"/>
      <c r="D32" s="117"/>
      <c r="E32" s="117"/>
      <c r="F32" s="117"/>
      <c r="G32" s="117"/>
      <c r="H32" s="544" t="s">
        <v>191</v>
      </c>
      <c r="I32" s="544"/>
      <c r="J32" s="544"/>
      <c r="K32" s="544"/>
      <c r="L32" s="544"/>
      <c r="M32" s="544"/>
      <c r="N32" s="594" t="s">
        <v>211</v>
      </c>
      <c r="O32" s="595"/>
      <c r="P32" s="595"/>
      <c r="Q32" s="595"/>
      <c r="R32" s="595"/>
      <c r="S32" s="596"/>
      <c r="T32" s="559" t="s">
        <v>231</v>
      </c>
      <c r="U32" s="560"/>
      <c r="V32" s="560"/>
      <c r="W32" s="560"/>
      <c r="X32" s="560"/>
      <c r="Y32" s="561"/>
      <c r="Z32" s="429"/>
      <c r="AA32" s="118"/>
      <c r="AB32" s="634" t="s">
        <v>10</v>
      </c>
      <c r="AC32" s="635"/>
      <c r="AD32" s="635"/>
      <c r="AE32" s="635"/>
      <c r="AF32" s="636"/>
      <c r="AG32" s="634" t="s">
        <v>15</v>
      </c>
      <c r="AH32" s="635"/>
      <c r="AI32" s="635"/>
      <c r="AJ32" s="635"/>
      <c r="AK32" s="636"/>
      <c r="AL32" s="634" t="s">
        <v>22</v>
      </c>
      <c r="AM32" s="635"/>
      <c r="AN32" s="635"/>
      <c r="AO32" s="635"/>
      <c r="AP32" s="636"/>
      <c r="AQ32" s="634" t="s">
        <v>12</v>
      </c>
      <c r="AR32" s="635"/>
      <c r="AS32" s="635"/>
      <c r="AT32" s="635"/>
      <c r="AU32" s="636"/>
      <c r="AV32" s="634" t="s">
        <v>13</v>
      </c>
      <c r="AW32" s="635"/>
      <c r="AX32" s="635"/>
      <c r="AY32" s="635"/>
      <c r="AZ32" s="636"/>
      <c r="BA32" s="634" t="s">
        <v>11</v>
      </c>
      <c r="BB32" s="635"/>
      <c r="BC32" s="635"/>
      <c r="BD32" s="635"/>
      <c r="BE32" s="636"/>
      <c r="BF32" s="634" t="s">
        <v>16</v>
      </c>
      <c r="BG32" s="635"/>
      <c r="BH32" s="635"/>
      <c r="BI32" s="635"/>
      <c r="BJ32" s="636"/>
      <c r="BK32" s="634" t="s">
        <v>14</v>
      </c>
      <c r="BL32" s="635"/>
      <c r="BM32" s="635"/>
      <c r="BN32" s="635"/>
      <c r="BO32" s="636"/>
    </row>
    <row r="33" spans="1:73" ht="36" customHeight="1" thickBot="1" x14ac:dyDescent="0.3">
      <c r="A33" s="430" t="s">
        <v>5</v>
      </c>
      <c r="B33" s="34" t="s">
        <v>7</v>
      </c>
      <c r="C33" s="34" t="s">
        <v>2</v>
      </c>
      <c r="D33" s="627" t="s">
        <v>46</v>
      </c>
      <c r="E33" s="628"/>
      <c r="F33" s="350" t="s">
        <v>9</v>
      </c>
      <c r="G33" s="350" t="s">
        <v>0</v>
      </c>
      <c r="H33" s="278" t="s">
        <v>348</v>
      </c>
      <c r="I33" s="29" t="s">
        <v>20</v>
      </c>
      <c r="J33" s="28" t="s">
        <v>28</v>
      </c>
      <c r="K33" s="29" t="s">
        <v>27</v>
      </c>
      <c r="L33" s="28" t="s">
        <v>21</v>
      </c>
      <c r="M33" s="29" t="s">
        <v>34</v>
      </c>
      <c r="N33" s="278" t="s">
        <v>297</v>
      </c>
      <c r="O33" s="37" t="s">
        <v>20</v>
      </c>
      <c r="P33" s="40" t="s">
        <v>28</v>
      </c>
      <c r="Q33" s="37" t="s">
        <v>27</v>
      </c>
      <c r="R33" s="40" t="s">
        <v>21</v>
      </c>
      <c r="S33" s="37" t="s">
        <v>34</v>
      </c>
      <c r="T33" s="278" t="s">
        <v>298</v>
      </c>
      <c r="U33" s="172" t="s">
        <v>20</v>
      </c>
      <c r="V33" s="171" t="s">
        <v>28</v>
      </c>
      <c r="W33" s="172" t="s">
        <v>27</v>
      </c>
      <c r="X33" s="171" t="s">
        <v>21</v>
      </c>
      <c r="Y33" s="172" t="s">
        <v>34</v>
      </c>
      <c r="Z33" s="429"/>
      <c r="AA33" s="118"/>
      <c r="AB33" s="179" t="s">
        <v>20</v>
      </c>
      <c r="AC33" s="179" t="s">
        <v>28</v>
      </c>
      <c r="AD33" s="179" t="s">
        <v>27</v>
      </c>
      <c r="AE33" s="179" t="s">
        <v>21</v>
      </c>
      <c r="AF33" s="179" t="s">
        <v>34</v>
      </c>
      <c r="AG33" s="179" t="s">
        <v>20</v>
      </c>
      <c r="AH33" s="179" t="s">
        <v>28</v>
      </c>
      <c r="AI33" s="179" t="s">
        <v>27</v>
      </c>
      <c r="AJ33" s="179" t="s">
        <v>21</v>
      </c>
      <c r="AK33" s="179" t="s">
        <v>34</v>
      </c>
      <c r="AL33" s="179" t="s">
        <v>20</v>
      </c>
      <c r="AM33" s="179" t="s">
        <v>28</v>
      </c>
      <c r="AN33" s="179" t="s">
        <v>27</v>
      </c>
      <c r="AO33" s="179" t="s">
        <v>21</v>
      </c>
      <c r="AP33" s="179" t="s">
        <v>34</v>
      </c>
      <c r="AQ33" s="179" t="s">
        <v>20</v>
      </c>
      <c r="AR33" s="179" t="s">
        <v>28</v>
      </c>
      <c r="AS33" s="179" t="s">
        <v>27</v>
      </c>
      <c r="AT33" s="179" t="s">
        <v>21</v>
      </c>
      <c r="AU33" s="179" t="s">
        <v>34</v>
      </c>
      <c r="AV33" s="179" t="s">
        <v>20</v>
      </c>
      <c r="AW33" s="179" t="s">
        <v>28</v>
      </c>
      <c r="AX33" s="179" t="s">
        <v>27</v>
      </c>
      <c r="AY33" s="179" t="s">
        <v>21</v>
      </c>
      <c r="AZ33" s="179" t="s">
        <v>34</v>
      </c>
      <c r="BA33" s="179" t="s">
        <v>20</v>
      </c>
      <c r="BB33" s="179" t="s">
        <v>28</v>
      </c>
      <c r="BC33" s="179" t="s">
        <v>27</v>
      </c>
      <c r="BD33" s="179" t="s">
        <v>21</v>
      </c>
      <c r="BE33" s="179" t="s">
        <v>34</v>
      </c>
      <c r="BF33" s="179" t="s">
        <v>20</v>
      </c>
      <c r="BG33" s="179" t="s">
        <v>28</v>
      </c>
      <c r="BH33" s="179" t="s">
        <v>27</v>
      </c>
      <c r="BI33" s="179" t="s">
        <v>21</v>
      </c>
      <c r="BJ33" s="179" t="s">
        <v>34</v>
      </c>
      <c r="BK33" s="179" t="s">
        <v>20</v>
      </c>
      <c r="BL33" s="179" t="s">
        <v>28</v>
      </c>
      <c r="BM33" s="179" t="s">
        <v>27</v>
      </c>
      <c r="BN33" s="179" t="s">
        <v>21</v>
      </c>
      <c r="BO33" s="179" t="s">
        <v>34</v>
      </c>
    </row>
    <row r="34" spans="1:73" ht="108.75" customHeight="1" x14ac:dyDescent="0.25">
      <c r="A34" s="474" t="s">
        <v>17</v>
      </c>
      <c r="B34" s="193" t="s">
        <v>326</v>
      </c>
      <c r="C34" s="193" t="s">
        <v>167</v>
      </c>
      <c r="D34" s="621" t="s">
        <v>99</v>
      </c>
      <c r="E34" s="622"/>
      <c r="F34" s="193" t="s">
        <v>93</v>
      </c>
      <c r="G34" s="193" t="s">
        <v>94</v>
      </c>
      <c r="H34" s="255" t="s">
        <v>352</v>
      </c>
      <c r="I34" s="35">
        <f>0.2*I17</f>
        <v>750</v>
      </c>
      <c r="J34" s="36">
        <f>0.2*J17</f>
        <v>45</v>
      </c>
      <c r="K34" s="35">
        <f>0.2*K17</f>
        <v>105</v>
      </c>
      <c r="L34" s="36">
        <f>0.2*L17</f>
        <v>2100</v>
      </c>
      <c r="M34" s="32"/>
      <c r="N34" s="255">
        <f>SUM(I34:L34)</f>
        <v>3000</v>
      </c>
      <c r="O34" s="38">
        <v>750</v>
      </c>
      <c r="P34" s="42">
        <v>45</v>
      </c>
      <c r="Q34" s="38">
        <v>105</v>
      </c>
      <c r="R34" s="42">
        <v>2100</v>
      </c>
      <c r="S34" s="39"/>
      <c r="T34" s="255">
        <f>SUM(O34:R34)</f>
        <v>3000</v>
      </c>
      <c r="U34" s="174">
        <v>750</v>
      </c>
      <c r="V34" s="165">
        <v>45</v>
      </c>
      <c r="W34" s="174">
        <v>105</v>
      </c>
      <c r="X34" s="165">
        <v>2100</v>
      </c>
      <c r="Y34" s="173"/>
      <c r="Z34" s="429"/>
      <c r="AA34" s="330" t="s">
        <v>265</v>
      </c>
      <c r="AB34" s="99">
        <f>AB17*0.2</f>
        <v>118.70859000000002</v>
      </c>
      <c r="AC34" s="99">
        <v>0</v>
      </c>
      <c r="AD34" s="99">
        <v>0</v>
      </c>
      <c r="AE34" s="99">
        <f>AE17*0.2</f>
        <v>195.96041140149302</v>
      </c>
      <c r="AF34" s="99"/>
      <c r="AG34" s="99">
        <f t="shared" ref="AG34:BN34" si="0">AG17*0.2</f>
        <v>118.70859000000002</v>
      </c>
      <c r="AH34" s="99">
        <f t="shared" si="0"/>
        <v>6.3277500000000009</v>
      </c>
      <c r="AI34" s="99">
        <f t="shared" si="0"/>
        <v>12.655500000000002</v>
      </c>
      <c r="AJ34" s="99">
        <f t="shared" si="0"/>
        <v>294.25217188397403</v>
      </c>
      <c r="AK34" s="99">
        <f t="shared" si="0"/>
        <v>0</v>
      </c>
      <c r="AL34" s="99">
        <f t="shared" si="0"/>
        <v>118.70859000000002</v>
      </c>
      <c r="AM34" s="99">
        <f t="shared" si="0"/>
        <v>6.3277500000000009</v>
      </c>
      <c r="AN34" s="99">
        <f t="shared" si="0"/>
        <v>12.655500000000002</v>
      </c>
      <c r="AO34" s="99">
        <f t="shared" si="0"/>
        <v>497.15518811028153</v>
      </c>
      <c r="AP34" s="99">
        <f t="shared" si="0"/>
        <v>0</v>
      </c>
      <c r="AQ34" s="99">
        <f t="shared" si="0"/>
        <v>39.548437500000006</v>
      </c>
      <c r="AR34" s="99">
        <f t="shared" si="0"/>
        <v>6.3277500000000009</v>
      </c>
      <c r="AS34" s="99">
        <f t="shared" si="0"/>
        <v>12.655500000000002</v>
      </c>
      <c r="AT34" s="99">
        <f t="shared" si="0"/>
        <v>497.15518811028153</v>
      </c>
      <c r="AU34" s="99">
        <f t="shared" si="0"/>
        <v>0</v>
      </c>
      <c r="AV34" s="99">
        <f t="shared" si="0"/>
        <v>79.096875000000011</v>
      </c>
      <c r="AW34" s="99">
        <f t="shared" si="0"/>
        <v>0</v>
      </c>
      <c r="AX34" s="99">
        <f t="shared" si="0"/>
        <v>12.655500000000002</v>
      </c>
      <c r="AY34" s="99">
        <f t="shared" si="0"/>
        <v>93.242201321079747</v>
      </c>
      <c r="AZ34" s="99">
        <f t="shared" si="0"/>
        <v>0</v>
      </c>
      <c r="BA34" s="99">
        <f t="shared" si="0"/>
        <v>118.70859000000002</v>
      </c>
      <c r="BB34" s="99">
        <f t="shared" si="0"/>
        <v>6.3277500000000009</v>
      </c>
      <c r="BC34" s="99">
        <f t="shared" si="0"/>
        <v>12.655500000000002</v>
      </c>
      <c r="BD34" s="99">
        <f t="shared" si="0"/>
        <v>190.24246481906852</v>
      </c>
      <c r="BE34" s="99">
        <f t="shared" si="0"/>
        <v>0</v>
      </c>
      <c r="BF34" s="99">
        <f t="shared" si="0"/>
        <v>39.611715000000004</v>
      </c>
      <c r="BG34" s="99">
        <f t="shared" si="0"/>
        <v>6.3277500000000009</v>
      </c>
      <c r="BH34" s="99">
        <f t="shared" si="0"/>
        <v>12.655500000000002</v>
      </c>
      <c r="BI34" s="99">
        <f t="shared" si="0"/>
        <v>280.73349727168198</v>
      </c>
      <c r="BJ34" s="99">
        <f t="shared" si="0"/>
        <v>0</v>
      </c>
      <c r="BK34" s="99">
        <f t="shared" si="0"/>
        <v>39.611715000000004</v>
      </c>
      <c r="BL34" s="99">
        <f t="shared" si="0"/>
        <v>6.3277500000000009</v>
      </c>
      <c r="BM34" s="99">
        <f t="shared" si="0"/>
        <v>12.655500000000002</v>
      </c>
      <c r="BN34" s="99">
        <f t="shared" si="0"/>
        <v>151.93308515221051</v>
      </c>
      <c r="BO34" s="45"/>
    </row>
    <row r="35" spans="1:73" ht="163.5" customHeight="1" x14ac:dyDescent="0.25">
      <c r="A35" s="433" t="s">
        <v>18</v>
      </c>
      <c r="B35" s="9" t="s">
        <v>327</v>
      </c>
      <c r="C35" s="9" t="s">
        <v>184</v>
      </c>
      <c r="D35" s="584" t="s">
        <v>100</v>
      </c>
      <c r="E35" s="585"/>
      <c r="F35" s="9" t="s">
        <v>93</v>
      </c>
      <c r="G35" s="9" t="s">
        <v>94</v>
      </c>
      <c r="H35" s="167" t="s">
        <v>353</v>
      </c>
      <c r="I35" s="35">
        <f>1000*2.5</f>
        <v>2500</v>
      </c>
      <c r="J35" s="36">
        <f>60*2.5</f>
        <v>150</v>
      </c>
      <c r="K35" s="35">
        <f>140*2.5</f>
        <v>350</v>
      </c>
      <c r="L35" s="36">
        <f>2800*2.5</f>
        <v>7000</v>
      </c>
      <c r="M35" s="35"/>
      <c r="N35" s="167">
        <f>SUM(I35:L35)</f>
        <v>10000</v>
      </c>
      <c r="O35" s="38">
        <f>I35</f>
        <v>2500</v>
      </c>
      <c r="P35" s="42">
        <f t="shared" ref="P35:R35" si="1">J35</f>
        <v>150</v>
      </c>
      <c r="Q35" s="38">
        <f t="shared" si="1"/>
        <v>350</v>
      </c>
      <c r="R35" s="42">
        <f t="shared" si="1"/>
        <v>7000</v>
      </c>
      <c r="S35" s="38"/>
      <c r="T35" s="167">
        <f>SUM(O35:R35)</f>
        <v>10000</v>
      </c>
      <c r="U35" s="174">
        <f>O35</f>
        <v>2500</v>
      </c>
      <c r="V35" s="165">
        <f t="shared" ref="V35" si="2">P35</f>
        <v>150</v>
      </c>
      <c r="W35" s="174">
        <f t="shared" ref="W35" si="3">Q35</f>
        <v>350</v>
      </c>
      <c r="X35" s="165">
        <f t="shared" ref="X35" si="4">R35</f>
        <v>7000</v>
      </c>
      <c r="Y35" s="174"/>
      <c r="Z35" s="429"/>
      <c r="AA35" s="470" t="s">
        <v>18</v>
      </c>
      <c r="AB35" s="99">
        <f>175*2.5</f>
        <v>437.5</v>
      </c>
      <c r="AC35" s="99">
        <v>0</v>
      </c>
      <c r="AD35" s="99">
        <v>0</v>
      </c>
      <c r="AE35" s="99">
        <f>249*2.5</f>
        <v>622.5</v>
      </c>
      <c r="AF35" s="99">
        <v>0</v>
      </c>
      <c r="AG35" s="99">
        <f>175*2.5</f>
        <v>437.5</v>
      </c>
      <c r="AH35" s="99">
        <f>10*2.5</f>
        <v>25</v>
      </c>
      <c r="AI35" s="99">
        <f>20*2.5</f>
        <v>50</v>
      </c>
      <c r="AJ35" s="99">
        <f>374*2.5</f>
        <v>935</v>
      </c>
      <c r="AK35" s="99">
        <v>0</v>
      </c>
      <c r="AL35" s="45">
        <f>175*2.5</f>
        <v>437.5</v>
      </c>
      <c r="AM35" s="45">
        <f>10*2.5</f>
        <v>25</v>
      </c>
      <c r="AN35" s="45">
        <f>20*2.5</f>
        <v>50</v>
      </c>
      <c r="AO35" s="45">
        <f>633*2.5</f>
        <v>1582.5</v>
      </c>
      <c r="AP35" s="45">
        <v>0</v>
      </c>
      <c r="AQ35" s="45">
        <f>59*2.5</f>
        <v>147.5</v>
      </c>
      <c r="AR35" s="45">
        <f>10*2.5</f>
        <v>25</v>
      </c>
      <c r="AS35" s="45">
        <f>20*2.5</f>
        <v>50</v>
      </c>
      <c r="AT35" s="45">
        <f>633*2.5</f>
        <v>1582.5</v>
      </c>
      <c r="AU35" s="45">
        <v>0</v>
      </c>
      <c r="AV35" s="45">
        <f>125*2.5</f>
        <v>312.5</v>
      </c>
      <c r="AW35" s="45">
        <v>0</v>
      </c>
      <c r="AX35" s="45">
        <f>20*2.5</f>
        <v>50</v>
      </c>
      <c r="AY35" s="45">
        <f>119*2.5</f>
        <v>297.5</v>
      </c>
      <c r="AZ35" s="45">
        <v>0</v>
      </c>
      <c r="BA35" s="45">
        <f>175*2.5</f>
        <v>437.5</v>
      </c>
      <c r="BB35" s="45">
        <f>10*2.5</f>
        <v>25</v>
      </c>
      <c r="BC35" s="45">
        <f>20*2.5</f>
        <v>50</v>
      </c>
      <c r="BD35" s="45">
        <f>242*2.5</f>
        <v>605</v>
      </c>
      <c r="BE35" s="45">
        <v>0</v>
      </c>
      <c r="BF35" s="45">
        <f>58*2.5</f>
        <v>145</v>
      </c>
      <c r="BG35" s="45">
        <f>10*2.5</f>
        <v>25</v>
      </c>
      <c r="BH35" s="45">
        <f>20*2.5</f>
        <v>50</v>
      </c>
      <c r="BI35" s="45">
        <f>357*2.5</f>
        <v>892.5</v>
      </c>
      <c r="BJ35" s="45">
        <v>0</v>
      </c>
      <c r="BK35" s="45">
        <f>58*2.5</f>
        <v>145</v>
      </c>
      <c r="BL35" s="45">
        <f>10*2.5</f>
        <v>25</v>
      </c>
      <c r="BM35" s="45">
        <f>20*2.5</f>
        <v>50</v>
      </c>
      <c r="BN35" s="45">
        <f>193*2.5</f>
        <v>482.5</v>
      </c>
      <c r="BO35" s="45">
        <v>0</v>
      </c>
    </row>
    <row r="36" spans="1:73" ht="110.25" customHeight="1" x14ac:dyDescent="0.3">
      <c r="A36" s="488" t="s">
        <v>19</v>
      </c>
      <c r="B36" s="189" t="s">
        <v>328</v>
      </c>
      <c r="C36" s="189" t="s">
        <v>185</v>
      </c>
      <c r="D36" s="623" t="s">
        <v>100</v>
      </c>
      <c r="E36" s="624"/>
      <c r="F36" s="189" t="s">
        <v>93</v>
      </c>
      <c r="G36" s="189" t="s">
        <v>94</v>
      </c>
      <c r="H36" s="167" t="str">
        <f>H6</f>
        <v>N/A</v>
      </c>
      <c r="I36" s="35">
        <v>750</v>
      </c>
      <c r="J36" s="36">
        <v>45</v>
      </c>
      <c r="K36" s="35">
        <v>105</v>
      </c>
      <c r="L36" s="36">
        <v>2100</v>
      </c>
      <c r="M36" s="35"/>
      <c r="N36" s="167">
        <v>3000</v>
      </c>
      <c r="O36" s="38">
        <v>750</v>
      </c>
      <c r="P36" s="42">
        <v>45</v>
      </c>
      <c r="Q36" s="38">
        <v>105</v>
      </c>
      <c r="R36" s="42">
        <v>2100</v>
      </c>
      <c r="S36" s="38"/>
      <c r="T36" s="167">
        <v>3000</v>
      </c>
      <c r="U36" s="174">
        <v>750</v>
      </c>
      <c r="V36" s="165">
        <v>45</v>
      </c>
      <c r="W36" s="174">
        <v>105</v>
      </c>
      <c r="X36" s="165">
        <v>2100</v>
      </c>
      <c r="Y36" s="174"/>
      <c r="Z36" s="483"/>
      <c r="AA36" s="118"/>
      <c r="AB36" s="118"/>
      <c r="AC36" s="110"/>
      <c r="AD36" s="110"/>
      <c r="AE36" s="110"/>
      <c r="AF36" s="47"/>
      <c r="AG36" s="64"/>
      <c r="AH36" s="65"/>
      <c r="AI36" s="65"/>
      <c r="AJ36" s="65"/>
      <c r="AK36" s="65"/>
      <c r="AL36" s="65"/>
      <c r="AM36" s="65"/>
      <c r="AN36" s="53"/>
      <c r="AO36" s="53"/>
      <c r="AP36" s="53"/>
      <c r="AQ36" s="53"/>
      <c r="AR36" s="53"/>
      <c r="AS36" s="53"/>
      <c r="AT36" s="53"/>
      <c r="AU36" s="53"/>
      <c r="AV36" s="53"/>
      <c r="AW36" s="53"/>
      <c r="AX36" s="53"/>
      <c r="AY36" s="53"/>
      <c r="AZ36" s="53"/>
      <c r="BA36" s="53"/>
      <c r="BB36" s="53"/>
      <c r="BC36" s="53"/>
      <c r="BD36" s="53"/>
      <c r="BE36" s="53"/>
      <c r="BF36" s="53"/>
      <c r="BG36" s="53"/>
      <c r="BH36" s="53"/>
      <c r="BI36" s="53"/>
    </row>
    <row r="37" spans="1:73" ht="23.25" x14ac:dyDescent="0.35">
      <c r="A37" s="479"/>
      <c r="B37" s="117"/>
      <c r="C37" s="117"/>
      <c r="D37" s="117"/>
      <c r="E37" s="117"/>
      <c r="F37" s="117"/>
      <c r="G37" s="117"/>
      <c r="H37" s="117"/>
      <c r="I37" s="117"/>
      <c r="J37" s="117"/>
      <c r="K37" s="117"/>
      <c r="L37" s="117"/>
      <c r="M37" s="117"/>
      <c r="N37" s="117"/>
      <c r="O37" s="117"/>
      <c r="P37" s="117"/>
      <c r="Q37" s="117"/>
      <c r="R37" s="110"/>
      <c r="S37" s="110"/>
      <c r="T37" s="110"/>
      <c r="U37" s="110"/>
      <c r="V37" s="110"/>
      <c r="W37" s="110"/>
      <c r="X37" s="110"/>
      <c r="Y37" s="110"/>
      <c r="Z37" s="483"/>
      <c r="AA37" s="118"/>
      <c r="AB37" s="118"/>
      <c r="AC37" s="110"/>
      <c r="AD37" s="110"/>
      <c r="AE37" s="110"/>
      <c r="AF37" s="47"/>
      <c r="AG37" s="64"/>
      <c r="AH37" s="65"/>
      <c r="AI37" s="65"/>
      <c r="AJ37" s="65"/>
      <c r="AK37" s="65"/>
      <c r="AL37" s="65"/>
      <c r="AM37" s="65"/>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4"/>
      <c r="BU37" s="54"/>
    </row>
    <row r="38" spans="1:73" ht="23.25" x14ac:dyDescent="0.35">
      <c r="A38" s="439" t="s">
        <v>190</v>
      </c>
      <c r="B38" s="305"/>
      <c r="C38" s="305"/>
      <c r="D38" s="305"/>
      <c r="E38" s="305"/>
      <c r="F38" s="305"/>
      <c r="G38" s="306"/>
      <c r="H38" s="117"/>
      <c r="I38" s="117"/>
      <c r="J38" s="117"/>
      <c r="K38" s="117"/>
      <c r="L38" s="117"/>
      <c r="M38" s="69"/>
      <c r="N38" s="69"/>
      <c r="O38" s="69"/>
      <c r="P38" s="69"/>
      <c r="Q38" s="69"/>
      <c r="R38" s="69"/>
      <c r="S38" s="69"/>
      <c r="T38" s="69"/>
      <c r="U38" s="69"/>
      <c r="V38" s="69"/>
      <c r="W38" s="69"/>
      <c r="X38" s="69"/>
      <c r="Y38" s="69"/>
      <c r="Z38" s="485"/>
      <c r="AA38" s="110"/>
      <c r="AB38" s="110"/>
      <c r="AC38" s="110"/>
      <c r="AD38" s="110"/>
      <c r="AE38" s="110"/>
      <c r="AF38" s="47"/>
      <c r="AG38" s="54"/>
      <c r="AH38" s="590"/>
      <c r="AI38" s="590"/>
      <c r="AJ38" s="590"/>
      <c r="AK38" s="590"/>
      <c r="AL38" s="590"/>
      <c r="AM38" s="590"/>
      <c r="AN38" s="590"/>
      <c r="AO38" s="590"/>
      <c r="AP38" s="590"/>
      <c r="AQ38" s="590"/>
      <c r="AR38" s="590"/>
      <c r="AS38" s="590"/>
      <c r="AT38" s="590"/>
      <c r="AU38" s="590"/>
      <c r="AV38" s="590"/>
      <c r="AW38" s="590"/>
      <c r="AX38" s="590"/>
      <c r="AY38" s="590"/>
      <c r="AZ38" s="590"/>
      <c r="BA38" s="590"/>
      <c r="BB38" s="590"/>
      <c r="BC38" s="590"/>
      <c r="BD38" s="590"/>
      <c r="BE38" s="590"/>
      <c r="BF38" s="590"/>
      <c r="BG38" s="590"/>
      <c r="BH38" s="590"/>
      <c r="BI38" s="590"/>
      <c r="BJ38" s="590"/>
      <c r="BK38" s="590"/>
      <c r="BL38" s="590"/>
      <c r="BM38" s="590"/>
      <c r="BN38" s="590"/>
      <c r="BO38" s="590"/>
      <c r="BP38" s="590"/>
      <c r="BQ38" s="590"/>
      <c r="BR38" s="590"/>
      <c r="BS38" s="590"/>
      <c r="BT38" s="590"/>
      <c r="BU38" s="590"/>
    </row>
    <row r="39" spans="1:73" ht="23.25" x14ac:dyDescent="0.35">
      <c r="A39" s="618" t="s">
        <v>266</v>
      </c>
      <c r="B39" s="619"/>
      <c r="C39" s="619"/>
      <c r="D39" s="619"/>
      <c r="E39" s="619"/>
      <c r="F39" s="619"/>
      <c r="G39" s="620"/>
      <c r="H39" s="117"/>
      <c r="I39" s="349"/>
      <c r="J39" s="349"/>
      <c r="K39" s="349"/>
      <c r="L39" s="349"/>
      <c r="M39" s="70"/>
      <c r="N39" s="70"/>
      <c r="O39" s="70"/>
      <c r="P39" s="70"/>
      <c r="Q39" s="110"/>
      <c r="R39" s="110"/>
      <c r="S39" s="110"/>
      <c r="T39" s="110"/>
      <c r="U39" s="110"/>
      <c r="V39" s="110"/>
      <c r="W39" s="110"/>
      <c r="X39" s="110"/>
      <c r="Y39" s="110"/>
      <c r="Z39" s="475"/>
      <c r="AA39" s="122"/>
      <c r="AB39" s="122"/>
      <c r="AC39" s="122"/>
      <c r="AD39" s="122"/>
      <c r="AE39" s="122"/>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54"/>
    </row>
    <row r="40" spans="1:73" ht="39.75" customHeight="1" x14ac:dyDescent="0.35">
      <c r="A40" s="567" t="s">
        <v>267</v>
      </c>
      <c r="B40" s="568"/>
      <c r="C40" s="568"/>
      <c r="D40" s="568"/>
      <c r="E40" s="568"/>
      <c r="F40" s="568"/>
      <c r="G40" s="569"/>
      <c r="H40" s="117"/>
      <c r="I40" s="117"/>
      <c r="J40" s="117"/>
      <c r="K40" s="117"/>
      <c r="L40" s="117"/>
      <c r="M40" s="71"/>
      <c r="N40" s="71"/>
      <c r="O40" s="71"/>
      <c r="P40" s="71"/>
      <c r="Q40" s="110"/>
      <c r="R40" s="110"/>
      <c r="S40" s="110"/>
      <c r="T40" s="110"/>
      <c r="U40" s="110"/>
      <c r="V40" s="110"/>
      <c r="W40" s="110"/>
      <c r="X40" s="110"/>
      <c r="Y40" s="110"/>
      <c r="Z40" s="475"/>
      <c r="AA40" s="124"/>
      <c r="AB40" s="124"/>
      <c r="AC40" s="124"/>
      <c r="AD40" s="124"/>
      <c r="AE40" s="124"/>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54"/>
    </row>
    <row r="41" spans="1:73" ht="19.5" customHeight="1" x14ac:dyDescent="0.35">
      <c r="A41" s="489" t="s">
        <v>268</v>
      </c>
      <c r="B41" s="277"/>
      <c r="C41" s="277"/>
      <c r="D41" s="277"/>
      <c r="E41" s="277"/>
      <c r="F41" s="277"/>
      <c r="G41" s="307"/>
      <c r="H41" s="117"/>
      <c r="I41" s="117"/>
      <c r="J41" s="117"/>
      <c r="K41" s="117"/>
      <c r="L41" s="117"/>
      <c r="M41" s="110"/>
      <c r="N41" s="110"/>
      <c r="O41" s="110"/>
      <c r="P41" s="110"/>
      <c r="Q41" s="110"/>
      <c r="R41" s="110"/>
      <c r="S41" s="110"/>
      <c r="T41" s="110"/>
      <c r="U41" s="110"/>
      <c r="V41" s="110"/>
      <c r="W41" s="110"/>
      <c r="X41" s="110"/>
      <c r="Y41" s="110"/>
      <c r="Z41" s="483"/>
      <c r="AA41" s="111"/>
      <c r="AB41" s="111"/>
      <c r="AC41" s="111"/>
      <c r="AD41" s="111"/>
      <c r="AE41" s="111"/>
    </row>
    <row r="42" spans="1:73" ht="19.5" customHeight="1" x14ac:dyDescent="0.35">
      <c r="A42" s="490" t="s">
        <v>269</v>
      </c>
      <c r="B42" s="308"/>
      <c r="C42" s="308"/>
      <c r="D42" s="308"/>
      <c r="E42" s="308"/>
      <c r="F42" s="308"/>
      <c r="G42" s="309"/>
      <c r="H42" s="117"/>
      <c r="I42" s="117"/>
      <c r="J42" s="117"/>
      <c r="K42" s="117"/>
      <c r="L42" s="117"/>
      <c r="M42" s="110"/>
      <c r="N42" s="110"/>
      <c r="O42" s="110"/>
      <c r="P42" s="110"/>
      <c r="Q42" s="110"/>
      <c r="R42" s="110"/>
      <c r="S42" s="110"/>
      <c r="T42" s="110"/>
      <c r="U42" s="110"/>
      <c r="V42" s="110"/>
      <c r="W42" s="110"/>
      <c r="X42" s="110"/>
      <c r="Y42" s="110"/>
      <c r="Z42" s="483"/>
      <c r="AA42" s="111"/>
      <c r="AB42" s="111"/>
      <c r="AC42" s="111"/>
      <c r="AD42" s="111"/>
      <c r="AE42" s="111"/>
    </row>
    <row r="43" spans="1:73" ht="24" thickBot="1" x14ac:dyDescent="0.4">
      <c r="A43" s="445"/>
      <c r="B43" s="446"/>
      <c r="C43" s="446"/>
      <c r="D43" s="446"/>
      <c r="E43" s="446"/>
      <c r="F43" s="446"/>
      <c r="G43" s="446"/>
      <c r="H43" s="491"/>
      <c r="I43" s="491"/>
      <c r="J43" s="491"/>
      <c r="K43" s="491"/>
      <c r="L43" s="491"/>
      <c r="M43" s="446"/>
      <c r="N43" s="446"/>
      <c r="O43" s="446"/>
      <c r="P43" s="446"/>
      <c r="Q43" s="446"/>
      <c r="R43" s="446"/>
      <c r="S43" s="446"/>
      <c r="T43" s="446"/>
      <c r="U43" s="446"/>
      <c r="V43" s="446"/>
      <c r="W43" s="446"/>
      <c r="X43" s="446"/>
      <c r="Y43" s="446"/>
      <c r="Z43" s="447"/>
    </row>
    <row r="44" spans="1:73" ht="23.25" x14ac:dyDescent="0.35">
      <c r="I44" s="117"/>
      <c r="J44" s="117"/>
      <c r="K44" s="117"/>
      <c r="L44" s="117"/>
    </row>
    <row r="45" spans="1:73" ht="23.25" x14ac:dyDescent="0.35">
      <c r="I45" s="117"/>
      <c r="J45" s="117"/>
      <c r="K45" s="117"/>
      <c r="L45" s="117"/>
    </row>
    <row r="46" spans="1:73" ht="23.25" x14ac:dyDescent="0.35">
      <c r="I46" s="117"/>
      <c r="J46" s="117"/>
      <c r="K46" s="117"/>
      <c r="L46" s="117"/>
    </row>
    <row r="47" spans="1:73" ht="23.25" x14ac:dyDescent="0.35">
      <c r="I47" s="117"/>
      <c r="J47" s="117"/>
      <c r="K47" s="117"/>
      <c r="L47" s="117"/>
    </row>
  </sheetData>
  <mergeCells count="69">
    <mergeCell ref="BF32:BJ32"/>
    <mergeCell ref="BK32:BO32"/>
    <mergeCell ref="AG32:AK32"/>
    <mergeCell ref="AL32:AP32"/>
    <mergeCell ref="AQ32:AU32"/>
    <mergeCell ref="AV32:AZ32"/>
    <mergeCell ref="BA32:BE32"/>
    <mergeCell ref="BF3:BJ3"/>
    <mergeCell ref="BK3:BO3"/>
    <mergeCell ref="AG15:AK15"/>
    <mergeCell ref="AL15:AP15"/>
    <mergeCell ref="AQ15:AU15"/>
    <mergeCell ref="AV15:AZ15"/>
    <mergeCell ref="BA15:BE15"/>
    <mergeCell ref="BF15:BJ15"/>
    <mergeCell ref="BK15:BO15"/>
    <mergeCell ref="AV3:AZ3"/>
    <mergeCell ref="BA3:BE3"/>
    <mergeCell ref="A1:G1"/>
    <mergeCell ref="A2:G3"/>
    <mergeCell ref="A15:G15"/>
    <mergeCell ref="D4:E4"/>
    <mergeCell ref="D5:E5"/>
    <mergeCell ref="A8:G8"/>
    <mergeCell ref="N32:S32"/>
    <mergeCell ref="H32:M32"/>
    <mergeCell ref="AH20:AL20"/>
    <mergeCell ref="AM20:AQ20"/>
    <mergeCell ref="T3:Y3"/>
    <mergeCell ref="AB3:AF3"/>
    <mergeCell ref="AL3:AP3"/>
    <mergeCell ref="AG3:AK3"/>
    <mergeCell ref="AQ3:AU3"/>
    <mergeCell ref="AB15:AF15"/>
    <mergeCell ref="T15:Y15"/>
    <mergeCell ref="T32:Y32"/>
    <mergeCell ref="AB32:AF32"/>
    <mergeCell ref="H15:M15"/>
    <mergeCell ref="H3:M3"/>
    <mergeCell ref="N3:S3"/>
    <mergeCell ref="A23:G23"/>
    <mergeCell ref="D6:E6"/>
    <mergeCell ref="U10:Z10"/>
    <mergeCell ref="D17:E17"/>
    <mergeCell ref="D16:E16"/>
    <mergeCell ref="N15:S15"/>
    <mergeCell ref="A21:G21"/>
    <mergeCell ref="BQ20:BU20"/>
    <mergeCell ref="AR20:AV20"/>
    <mergeCell ref="AW20:BA20"/>
    <mergeCell ref="BB20:BF20"/>
    <mergeCell ref="BG20:BK20"/>
    <mergeCell ref="BL20:BP20"/>
    <mergeCell ref="A40:G40"/>
    <mergeCell ref="A25:G25"/>
    <mergeCell ref="BL38:BP38"/>
    <mergeCell ref="BQ38:BU38"/>
    <mergeCell ref="AH38:AL38"/>
    <mergeCell ref="AM38:AQ38"/>
    <mergeCell ref="AR38:AV38"/>
    <mergeCell ref="AW38:BA38"/>
    <mergeCell ref="BB38:BF38"/>
    <mergeCell ref="BG38:BK38"/>
    <mergeCell ref="A39:G39"/>
    <mergeCell ref="D34:E34"/>
    <mergeCell ref="D36:E36"/>
    <mergeCell ref="U27:Z27"/>
    <mergeCell ref="D33:E33"/>
    <mergeCell ref="D35:E35"/>
  </mergeCells>
  <pageMargins left="0.7" right="0.7" top="0.75" bottom="0.75" header="0.3" footer="0.3"/>
  <pageSetup paperSize="9" scale="1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52"/>
  <sheetViews>
    <sheetView topLeftCell="G36" zoomScale="60" zoomScaleNormal="60" workbookViewId="0">
      <selection activeCell="I46" sqref="I46"/>
    </sheetView>
  </sheetViews>
  <sheetFormatPr defaultRowHeight="15" x14ac:dyDescent="0.25"/>
  <cols>
    <col min="1" max="1" width="9.140625" customWidth="1"/>
    <col min="2" max="2" width="18.5703125" customWidth="1"/>
    <col min="3" max="3" width="43.140625" customWidth="1"/>
    <col min="4" max="4" width="27.85546875" customWidth="1"/>
    <col min="5" max="5" width="27.7109375" customWidth="1"/>
    <col min="6" max="6" width="24.85546875" customWidth="1"/>
    <col min="7" max="7" width="34" customWidth="1"/>
    <col min="8" max="8" width="28.42578125" customWidth="1"/>
    <col min="9" max="9" width="26.140625" customWidth="1"/>
    <col min="13" max="13" width="5.5703125" customWidth="1"/>
    <col min="20" max="20" width="9.140625" customWidth="1"/>
  </cols>
  <sheetData>
    <row r="1" spans="1:76" ht="48" customHeight="1" x14ac:dyDescent="0.25">
      <c r="A1" s="541" t="s">
        <v>332</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3"/>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47"/>
      <c r="BR1" s="47"/>
      <c r="BS1" s="47"/>
      <c r="BT1" s="47"/>
    </row>
    <row r="2" spans="1:76" ht="23.25" customHeight="1" x14ac:dyDescent="0.25">
      <c r="A2" s="674" t="s">
        <v>205</v>
      </c>
      <c r="B2" s="641"/>
      <c r="C2" s="641"/>
      <c r="D2" s="641"/>
      <c r="E2" s="641"/>
      <c r="F2" s="641"/>
      <c r="G2" s="675"/>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5"/>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47"/>
      <c r="BR2" s="47"/>
      <c r="BS2" s="47"/>
      <c r="BT2" s="47"/>
    </row>
    <row r="3" spans="1:76" ht="23.25" x14ac:dyDescent="0.25">
      <c r="A3" s="676"/>
      <c r="B3" s="643"/>
      <c r="C3" s="643"/>
      <c r="D3" s="643"/>
      <c r="E3" s="643"/>
      <c r="F3" s="643"/>
      <c r="G3" s="677"/>
      <c r="H3" s="276"/>
      <c r="I3" s="591" t="s">
        <v>191</v>
      </c>
      <c r="J3" s="592"/>
      <c r="K3" s="592"/>
      <c r="L3" s="592"/>
      <c r="M3" s="593"/>
      <c r="N3" s="681" t="s">
        <v>211</v>
      </c>
      <c r="O3" s="682"/>
      <c r="P3" s="682"/>
      <c r="Q3" s="682"/>
      <c r="R3" s="683"/>
      <c r="S3" s="559" t="s">
        <v>231</v>
      </c>
      <c r="T3" s="560"/>
      <c r="U3" s="560"/>
      <c r="V3" s="560"/>
      <c r="W3" s="561"/>
      <c r="X3" s="54"/>
      <c r="Y3" s="54"/>
      <c r="Z3" s="54"/>
      <c r="AA3" s="54"/>
      <c r="AB3" s="54"/>
      <c r="AC3" s="105"/>
      <c r="AD3" s="105"/>
      <c r="AE3" s="105"/>
      <c r="AF3" s="440"/>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74"/>
      <c r="BJ3" s="54"/>
      <c r="BK3" s="54"/>
      <c r="BL3" s="54"/>
      <c r="BM3" s="54"/>
      <c r="BN3" s="54"/>
      <c r="BO3" s="54"/>
      <c r="BP3" s="54"/>
      <c r="BQ3" s="47"/>
      <c r="BR3" s="47"/>
      <c r="BS3" s="47"/>
      <c r="BT3" s="47"/>
    </row>
    <row r="4" spans="1:76" ht="36.75" customHeight="1" thickBot="1" x14ac:dyDescent="0.3">
      <c r="A4" s="430" t="s">
        <v>5</v>
      </c>
      <c r="B4" s="34" t="s">
        <v>171</v>
      </c>
      <c r="C4" s="34" t="s">
        <v>2</v>
      </c>
      <c r="D4" s="627" t="s">
        <v>46</v>
      </c>
      <c r="E4" s="628"/>
      <c r="F4" s="350" t="s">
        <v>9</v>
      </c>
      <c r="G4" s="279" t="s">
        <v>0</v>
      </c>
      <c r="H4" s="280" t="s">
        <v>348</v>
      </c>
      <c r="I4" s="678" t="s">
        <v>204</v>
      </c>
      <c r="J4" s="679"/>
      <c r="K4" s="679"/>
      <c r="L4" s="679"/>
      <c r="M4" s="680"/>
      <c r="N4" s="684" t="s">
        <v>204</v>
      </c>
      <c r="O4" s="685"/>
      <c r="P4" s="685"/>
      <c r="Q4" s="685"/>
      <c r="R4" s="686"/>
      <c r="S4" s="653" t="s">
        <v>204</v>
      </c>
      <c r="T4" s="654"/>
      <c r="U4" s="654"/>
      <c r="V4" s="654"/>
      <c r="W4" s="655"/>
      <c r="X4" s="54"/>
      <c r="Y4" s="54"/>
      <c r="Z4" s="54"/>
      <c r="AA4" s="54"/>
      <c r="AB4" s="54"/>
      <c r="AC4" s="105"/>
      <c r="AD4" s="105"/>
      <c r="AE4" s="105"/>
      <c r="AF4" s="440"/>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74"/>
      <c r="BJ4" s="54"/>
      <c r="BK4" s="54"/>
      <c r="BL4" s="54"/>
      <c r="BM4" s="54"/>
      <c r="BN4" s="54"/>
      <c r="BO4" s="54"/>
      <c r="BP4" s="54"/>
      <c r="BQ4" s="47"/>
      <c r="BR4" s="47"/>
      <c r="BS4" s="47"/>
      <c r="BT4" s="47"/>
    </row>
    <row r="5" spans="1:76" ht="109.5" customHeight="1" thickBot="1" x14ac:dyDescent="0.3">
      <c r="A5" s="431" t="s">
        <v>17</v>
      </c>
      <c r="B5" s="107" t="s">
        <v>170</v>
      </c>
      <c r="C5" s="107" t="s">
        <v>172</v>
      </c>
      <c r="D5" s="666" t="s">
        <v>168</v>
      </c>
      <c r="E5" s="667"/>
      <c r="F5" s="107" t="s">
        <v>169</v>
      </c>
      <c r="G5" s="10" t="s">
        <v>47</v>
      </c>
      <c r="H5" s="285">
        <v>7</v>
      </c>
      <c r="I5" s="668" t="s">
        <v>319</v>
      </c>
      <c r="J5" s="669"/>
      <c r="K5" s="669"/>
      <c r="L5" s="669"/>
      <c r="M5" s="670"/>
      <c r="N5" s="687" t="s">
        <v>322</v>
      </c>
      <c r="O5" s="688"/>
      <c r="P5" s="688"/>
      <c r="Q5" s="688"/>
      <c r="R5" s="689"/>
      <c r="S5" s="706" t="s">
        <v>321</v>
      </c>
      <c r="T5" s="707"/>
      <c r="U5" s="707"/>
      <c r="V5" s="707"/>
      <c r="W5" s="708"/>
      <c r="X5" s="54"/>
      <c r="Y5" s="54"/>
      <c r="Z5" s="54"/>
      <c r="AA5" s="54"/>
      <c r="AB5" s="54"/>
      <c r="AC5" s="105"/>
      <c r="AD5" s="105"/>
      <c r="AE5" s="105"/>
      <c r="AF5" s="440"/>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74"/>
      <c r="BJ5" s="54"/>
      <c r="BK5" s="54"/>
      <c r="BL5" s="54"/>
      <c r="BM5" s="54"/>
      <c r="BN5" s="54"/>
      <c r="BO5" s="54"/>
      <c r="BP5" s="54"/>
      <c r="BQ5" s="47"/>
      <c r="BR5" s="47"/>
      <c r="BS5" s="47"/>
      <c r="BT5" s="47"/>
    </row>
    <row r="6" spans="1:76" ht="108" customHeight="1" x14ac:dyDescent="0.25">
      <c r="A6" s="492" t="s">
        <v>18</v>
      </c>
      <c r="B6" s="9" t="s">
        <v>179</v>
      </c>
      <c r="C6" s="9" t="s">
        <v>176</v>
      </c>
      <c r="D6" s="557" t="s">
        <v>173</v>
      </c>
      <c r="E6" s="557"/>
      <c r="F6" s="9" t="s">
        <v>175</v>
      </c>
      <c r="G6" s="9" t="s">
        <v>174</v>
      </c>
      <c r="H6" s="285" t="s">
        <v>314</v>
      </c>
      <c r="I6" s="671" t="s">
        <v>315</v>
      </c>
      <c r="J6" s="672"/>
      <c r="K6" s="672"/>
      <c r="L6" s="672"/>
      <c r="M6" s="673"/>
      <c r="N6" s="690" t="s">
        <v>316</v>
      </c>
      <c r="O6" s="691"/>
      <c r="P6" s="691"/>
      <c r="Q6" s="691"/>
      <c r="R6" s="692"/>
      <c r="S6" s="647" t="s">
        <v>317</v>
      </c>
      <c r="T6" s="648"/>
      <c r="U6" s="648"/>
      <c r="V6" s="648"/>
      <c r="W6" s="649"/>
      <c r="X6" s="54"/>
      <c r="Y6" s="54"/>
      <c r="Z6" s="54"/>
      <c r="AA6" s="54"/>
      <c r="AB6" s="54"/>
      <c r="AC6" s="105"/>
      <c r="AD6" s="105"/>
      <c r="AE6" s="105"/>
      <c r="AF6" s="440"/>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row>
    <row r="7" spans="1:76" ht="26.25" x14ac:dyDescent="0.25">
      <c r="A7" s="493"/>
      <c r="B7" s="104"/>
      <c r="C7" s="104"/>
      <c r="D7" s="104"/>
      <c r="E7" s="104"/>
      <c r="F7" s="104"/>
      <c r="G7" s="104"/>
      <c r="H7" s="104"/>
      <c r="I7" s="104"/>
      <c r="J7" s="104"/>
      <c r="K7" s="104"/>
      <c r="L7" s="104"/>
      <c r="M7" s="104"/>
      <c r="N7" s="104"/>
      <c r="O7" s="104"/>
      <c r="P7" s="104"/>
      <c r="Q7" s="105"/>
      <c r="R7" s="105"/>
      <c r="S7" s="105"/>
      <c r="T7" s="47"/>
      <c r="U7" s="54"/>
      <c r="V7" s="54"/>
      <c r="W7" s="54"/>
      <c r="X7" s="54"/>
      <c r="Y7" s="54"/>
      <c r="Z7" s="54"/>
      <c r="AA7" s="54"/>
      <c r="AB7" s="54"/>
      <c r="AC7" s="105"/>
      <c r="AD7" s="105"/>
      <c r="AE7" s="105"/>
      <c r="AF7" s="440"/>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row>
    <row r="8" spans="1:76" ht="47.25" customHeight="1" x14ac:dyDescent="0.35">
      <c r="A8" s="604" t="s">
        <v>304</v>
      </c>
      <c r="B8" s="605"/>
      <c r="C8" s="605"/>
      <c r="D8" s="605"/>
      <c r="E8" s="605"/>
      <c r="F8" s="605"/>
      <c r="G8" s="605"/>
      <c r="H8" s="57"/>
      <c r="I8" s="57"/>
      <c r="J8" s="57"/>
      <c r="K8" s="57"/>
      <c r="L8" s="57"/>
      <c r="M8" s="57"/>
      <c r="N8" s="57"/>
      <c r="O8" s="57"/>
      <c r="P8" s="57"/>
      <c r="Q8" s="57"/>
      <c r="R8" s="57"/>
      <c r="S8" s="57"/>
      <c r="T8" s="57"/>
      <c r="U8" s="57"/>
      <c r="V8" s="57"/>
      <c r="W8" s="57"/>
      <c r="X8" s="58"/>
      <c r="Y8" s="58"/>
      <c r="Z8" s="58"/>
      <c r="AA8" s="58"/>
      <c r="AB8" s="58"/>
      <c r="AC8" s="58"/>
      <c r="AD8" s="58"/>
      <c r="AE8" s="58"/>
      <c r="AF8" s="497"/>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6"/>
      <c r="BR8" s="6"/>
      <c r="BS8" s="6"/>
      <c r="BT8" s="6"/>
    </row>
    <row r="9" spans="1:76" ht="23.25" x14ac:dyDescent="0.35">
      <c r="A9" s="437"/>
      <c r="B9" s="59"/>
      <c r="C9" s="59"/>
      <c r="D9" s="59"/>
      <c r="E9" s="60"/>
      <c r="F9" s="60"/>
      <c r="G9" s="60"/>
      <c r="H9" s="60"/>
      <c r="I9" s="60"/>
      <c r="J9" s="60"/>
      <c r="K9" s="60"/>
      <c r="L9" s="60"/>
      <c r="M9" s="60"/>
      <c r="N9" s="60"/>
      <c r="O9" s="60"/>
      <c r="P9" s="60"/>
      <c r="Q9" s="60"/>
      <c r="R9" s="60"/>
      <c r="S9" s="60"/>
      <c r="T9" s="60"/>
      <c r="U9" s="60"/>
      <c r="V9" s="60"/>
      <c r="W9" s="60"/>
      <c r="X9" s="53"/>
      <c r="Y9" s="53"/>
      <c r="Z9" s="53"/>
      <c r="AA9" s="53"/>
      <c r="AB9" s="53"/>
      <c r="AC9" s="53"/>
      <c r="AD9" s="53"/>
      <c r="AE9" s="53"/>
      <c r="AF9" s="435"/>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row>
    <row r="10" spans="1:76" ht="23.25" x14ac:dyDescent="0.35">
      <c r="A10" s="428"/>
      <c r="B10" s="183" t="s">
        <v>8</v>
      </c>
      <c r="C10" s="190" t="s">
        <v>192</v>
      </c>
      <c r="D10" s="185">
        <v>2019</v>
      </c>
      <c r="E10" s="191">
        <v>2020</v>
      </c>
      <c r="F10" s="60"/>
      <c r="G10" s="60"/>
      <c r="H10" s="60"/>
      <c r="I10" s="60"/>
      <c r="J10" s="60"/>
      <c r="K10" s="60"/>
      <c r="L10" s="60"/>
      <c r="M10" s="55"/>
      <c r="N10" s="55"/>
      <c r="O10" s="55"/>
      <c r="P10" s="55"/>
      <c r="Q10" s="55"/>
      <c r="R10" s="55"/>
      <c r="S10" s="55"/>
      <c r="T10" s="55"/>
      <c r="U10" s="55"/>
      <c r="V10" s="6"/>
      <c r="W10" s="6"/>
      <c r="X10" s="6"/>
      <c r="Y10" s="646"/>
      <c r="Z10" s="646"/>
      <c r="AA10" s="646"/>
      <c r="AB10" s="646"/>
      <c r="AC10" s="646"/>
      <c r="AD10" s="646"/>
      <c r="AE10" s="6"/>
      <c r="AF10" s="432"/>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row>
    <row r="11" spans="1:76" ht="38.25" x14ac:dyDescent="0.35">
      <c r="A11" s="436"/>
      <c r="B11" s="186" t="s">
        <v>25</v>
      </c>
      <c r="C11" s="187">
        <v>2500000</v>
      </c>
      <c r="D11" s="188">
        <v>2500000</v>
      </c>
      <c r="E11" s="192">
        <v>2500000</v>
      </c>
      <c r="F11" s="60"/>
      <c r="G11" s="60"/>
      <c r="H11" s="60"/>
      <c r="I11" s="60"/>
      <c r="J11" s="60"/>
      <c r="K11" s="60"/>
      <c r="L11" s="60"/>
      <c r="M11" s="55"/>
      <c r="N11" s="55"/>
      <c r="O11" s="55"/>
      <c r="P11" s="55"/>
      <c r="Q11" s="55"/>
      <c r="R11" s="55"/>
      <c r="S11" s="55"/>
      <c r="T11" s="55"/>
      <c r="U11" s="55"/>
      <c r="V11" s="6"/>
      <c r="W11" s="6"/>
      <c r="X11" s="347"/>
      <c r="Y11" s="347"/>
      <c r="Z11" s="347"/>
      <c r="AA11" s="347"/>
      <c r="AB11" s="347"/>
      <c r="AC11" s="6"/>
      <c r="AD11" s="6"/>
      <c r="AE11" s="6"/>
      <c r="AF11" s="432"/>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row>
    <row r="12" spans="1:76" ht="38.25" x14ac:dyDescent="0.35">
      <c r="A12" s="428"/>
      <c r="B12" s="132" t="s">
        <v>23</v>
      </c>
      <c r="C12" s="62">
        <v>0</v>
      </c>
      <c r="D12" s="63">
        <v>0</v>
      </c>
      <c r="E12" s="223">
        <v>0</v>
      </c>
      <c r="F12" s="60"/>
      <c r="G12" s="60"/>
      <c r="H12" s="60"/>
      <c r="I12" s="60"/>
      <c r="J12" s="60"/>
      <c r="K12" s="60"/>
      <c r="L12" s="60"/>
      <c r="M12" s="55"/>
      <c r="N12" s="55"/>
      <c r="O12" s="55"/>
      <c r="P12" s="55"/>
      <c r="Q12" s="55"/>
      <c r="R12" s="55"/>
      <c r="S12" s="55"/>
      <c r="T12" s="55"/>
      <c r="U12" s="55"/>
      <c r="V12" s="55"/>
      <c r="W12" s="55"/>
      <c r="X12" s="55"/>
      <c r="Y12" s="6"/>
      <c r="Z12" s="6"/>
      <c r="AA12" s="6"/>
      <c r="AB12" s="347"/>
      <c r="AC12" s="347"/>
      <c r="AD12" s="347"/>
      <c r="AE12" s="347"/>
      <c r="AF12" s="494"/>
      <c r="AG12" s="108"/>
      <c r="AH12" s="108"/>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row>
    <row r="13" spans="1:76" ht="23.25" x14ac:dyDescent="0.35">
      <c r="A13" s="428"/>
      <c r="B13" s="132" t="s">
        <v>24</v>
      </c>
      <c r="C13" s="62">
        <v>1</v>
      </c>
      <c r="D13" s="63">
        <v>1</v>
      </c>
      <c r="E13" s="223">
        <v>1</v>
      </c>
      <c r="F13" s="60"/>
      <c r="G13" s="60"/>
      <c r="H13" s="60"/>
      <c r="I13" s="60"/>
      <c r="J13" s="60"/>
      <c r="K13" s="60"/>
      <c r="L13" s="60"/>
      <c r="M13" s="55"/>
      <c r="N13" s="55"/>
      <c r="O13" s="55"/>
      <c r="P13" s="55"/>
      <c r="Q13" s="55"/>
      <c r="R13" s="55"/>
      <c r="S13" s="55"/>
      <c r="T13" s="55"/>
      <c r="U13" s="55"/>
      <c r="V13" s="55"/>
      <c r="W13" s="55"/>
      <c r="X13" s="55"/>
      <c r="Y13" s="6"/>
      <c r="Z13" s="6"/>
      <c r="AA13" s="6"/>
      <c r="AB13" s="347"/>
      <c r="AC13" s="347"/>
      <c r="AD13" s="347"/>
      <c r="AE13" s="347"/>
      <c r="AF13" s="494"/>
      <c r="AG13" s="108"/>
      <c r="AH13" s="108"/>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row>
    <row r="14" spans="1:76" ht="23.25" x14ac:dyDescent="0.35">
      <c r="A14" s="428"/>
      <c r="B14" s="47"/>
      <c r="C14" s="47"/>
      <c r="D14" s="55"/>
      <c r="E14" s="55"/>
      <c r="F14" s="55"/>
      <c r="G14" s="55"/>
      <c r="H14" s="55"/>
      <c r="I14" s="55"/>
      <c r="J14" s="55"/>
      <c r="K14" s="55"/>
      <c r="L14" s="55"/>
      <c r="M14" s="55"/>
      <c r="N14" s="55"/>
      <c r="O14" s="55"/>
      <c r="P14" s="55"/>
      <c r="Q14" s="55"/>
      <c r="R14" s="55"/>
      <c r="S14" s="55"/>
      <c r="T14" s="55"/>
      <c r="U14" s="55"/>
      <c r="V14" s="55"/>
      <c r="W14" s="55"/>
      <c r="X14" s="55"/>
      <c r="Y14" s="6"/>
      <c r="Z14" s="6"/>
      <c r="AA14" s="6"/>
      <c r="AB14" s="47"/>
      <c r="AC14" s="47"/>
      <c r="AD14" s="47"/>
      <c r="AE14" s="47"/>
      <c r="AF14" s="429"/>
      <c r="AJ14" s="6"/>
      <c r="AK14" s="6"/>
      <c r="AL14" s="6"/>
      <c r="AM14" s="6"/>
      <c r="AN14" s="61" t="s">
        <v>193</v>
      </c>
      <c r="AO14" s="150"/>
      <c r="AP14" s="347"/>
      <c r="AQ14" s="347"/>
      <c r="AR14" s="347"/>
      <c r="AS14" s="347"/>
      <c r="AT14" s="347"/>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row>
    <row r="15" spans="1:76" ht="21" x14ac:dyDescent="0.35">
      <c r="A15" s="629" t="s">
        <v>206</v>
      </c>
      <c r="B15" s="630"/>
      <c r="C15" s="630"/>
      <c r="D15" s="630"/>
      <c r="E15" s="630"/>
      <c r="F15" s="630"/>
      <c r="G15" s="631"/>
      <c r="H15" s="591" t="s">
        <v>191</v>
      </c>
      <c r="I15" s="592"/>
      <c r="J15" s="592"/>
      <c r="K15" s="592"/>
      <c r="L15" s="592"/>
      <c r="M15" s="592"/>
      <c r="N15" s="592"/>
      <c r="O15" s="592"/>
      <c r="P15" s="593"/>
      <c r="Q15" s="594" t="s">
        <v>211</v>
      </c>
      <c r="R15" s="595"/>
      <c r="S15" s="595"/>
      <c r="T15" s="595"/>
      <c r="U15" s="596"/>
      <c r="V15" s="559" t="s">
        <v>231</v>
      </c>
      <c r="W15" s="560"/>
      <c r="X15" s="560"/>
      <c r="Y15" s="560"/>
      <c r="Z15" s="561"/>
      <c r="AA15" s="47"/>
      <c r="AB15" s="47"/>
      <c r="AC15" s="47"/>
      <c r="AD15" s="47"/>
      <c r="AE15" s="47"/>
      <c r="AF15" s="429"/>
      <c r="AJ15" s="194"/>
      <c r="AK15" s="637" t="s">
        <v>10</v>
      </c>
      <c r="AL15" s="637"/>
      <c r="AM15" s="637"/>
      <c r="AN15" s="637"/>
      <c r="AO15" s="637"/>
      <c r="AP15" s="348" t="s">
        <v>15</v>
      </c>
      <c r="AQ15" s="348"/>
      <c r="AR15" s="348"/>
      <c r="AS15" s="348"/>
      <c r="AT15" s="348"/>
      <c r="AU15" s="348" t="s">
        <v>22</v>
      </c>
      <c r="AV15" s="348"/>
      <c r="AW15" s="348"/>
      <c r="AX15" s="348"/>
      <c r="AY15" s="348"/>
      <c r="AZ15" s="348" t="s">
        <v>12</v>
      </c>
      <c r="BA15" s="348"/>
      <c r="BB15" s="348"/>
      <c r="BC15" s="348"/>
      <c r="BD15" s="348"/>
      <c r="BE15" s="348" t="s">
        <v>13</v>
      </c>
      <c r="BF15" s="348"/>
      <c r="BG15" s="348"/>
      <c r="BH15" s="348"/>
      <c r="BI15" s="348"/>
      <c r="BJ15" s="348" t="s">
        <v>11</v>
      </c>
      <c r="BK15" s="348"/>
      <c r="BL15" s="348"/>
      <c r="BM15" s="348"/>
      <c r="BN15" s="348"/>
      <c r="BO15" s="348" t="s">
        <v>16</v>
      </c>
      <c r="BP15" s="348"/>
      <c r="BQ15" s="348"/>
      <c r="BR15" s="348"/>
      <c r="BS15" s="348"/>
      <c r="BT15" s="348" t="s">
        <v>14</v>
      </c>
      <c r="BU15" s="348"/>
      <c r="BV15" s="348"/>
      <c r="BW15" s="348"/>
      <c r="BX15" s="348"/>
    </row>
    <row r="16" spans="1:76" ht="15.75" thickBot="1" x14ac:dyDescent="0.3">
      <c r="A16" s="430" t="s">
        <v>5</v>
      </c>
      <c r="B16" s="34" t="s">
        <v>7</v>
      </c>
      <c r="C16" s="34" t="s">
        <v>2</v>
      </c>
      <c r="D16" s="627" t="s">
        <v>46</v>
      </c>
      <c r="E16" s="628"/>
      <c r="F16" s="350" t="s">
        <v>9</v>
      </c>
      <c r="G16" s="350" t="s">
        <v>0</v>
      </c>
      <c r="H16" s="281" t="s">
        <v>348</v>
      </c>
      <c r="I16" s="678" t="s">
        <v>104</v>
      </c>
      <c r="J16" s="679"/>
      <c r="K16" s="679"/>
      <c r="L16" s="679"/>
      <c r="M16" s="679"/>
      <c r="N16" s="679"/>
      <c r="O16" s="679"/>
      <c r="P16" s="680"/>
      <c r="Q16" s="650" t="s">
        <v>242</v>
      </c>
      <c r="R16" s="651"/>
      <c r="S16" s="651"/>
      <c r="T16" s="651"/>
      <c r="U16" s="652"/>
      <c r="V16" s="653" t="s">
        <v>242</v>
      </c>
      <c r="W16" s="654"/>
      <c r="X16" s="654"/>
      <c r="Y16" s="654"/>
      <c r="Z16" s="655"/>
      <c r="AA16" s="47"/>
      <c r="AB16" s="47"/>
      <c r="AC16" s="47"/>
      <c r="AD16" s="47"/>
      <c r="AE16" s="47"/>
      <c r="AF16" s="429"/>
      <c r="AJ16" s="194"/>
      <c r="AK16" s="179" t="s">
        <v>20</v>
      </c>
      <c r="AL16" s="179" t="s">
        <v>28</v>
      </c>
      <c r="AM16" s="179" t="s">
        <v>27</v>
      </c>
      <c r="AN16" s="179" t="s">
        <v>21</v>
      </c>
      <c r="AO16" s="179" t="s">
        <v>34</v>
      </c>
      <c r="AP16" s="179" t="s">
        <v>20</v>
      </c>
      <c r="AQ16" s="179" t="s">
        <v>28</v>
      </c>
      <c r="AR16" s="179" t="s">
        <v>27</v>
      </c>
      <c r="AS16" s="179" t="s">
        <v>21</v>
      </c>
      <c r="AT16" s="179" t="s">
        <v>34</v>
      </c>
      <c r="AU16" s="179" t="s">
        <v>20</v>
      </c>
      <c r="AV16" s="179" t="s">
        <v>28</v>
      </c>
      <c r="AW16" s="179" t="s">
        <v>27</v>
      </c>
      <c r="AX16" s="179" t="s">
        <v>21</v>
      </c>
      <c r="AY16" s="179" t="s">
        <v>34</v>
      </c>
      <c r="AZ16" s="179" t="s">
        <v>20</v>
      </c>
      <c r="BA16" s="179" t="s">
        <v>28</v>
      </c>
      <c r="BB16" s="179" t="s">
        <v>27</v>
      </c>
      <c r="BC16" s="179" t="s">
        <v>21</v>
      </c>
      <c r="BD16" s="179" t="s">
        <v>34</v>
      </c>
      <c r="BE16" s="179" t="s">
        <v>20</v>
      </c>
      <c r="BF16" s="179" t="s">
        <v>28</v>
      </c>
      <c r="BG16" s="179" t="s">
        <v>27</v>
      </c>
      <c r="BH16" s="179" t="s">
        <v>21</v>
      </c>
      <c r="BI16" s="179" t="s">
        <v>34</v>
      </c>
      <c r="BJ16" s="179" t="s">
        <v>20</v>
      </c>
      <c r="BK16" s="179" t="s">
        <v>28</v>
      </c>
      <c r="BL16" s="179" t="s">
        <v>27</v>
      </c>
      <c r="BM16" s="179" t="s">
        <v>21</v>
      </c>
      <c r="BN16" s="179"/>
      <c r="BO16" s="179" t="s">
        <v>20</v>
      </c>
      <c r="BP16" s="179" t="s">
        <v>28</v>
      </c>
      <c r="BQ16" s="179" t="s">
        <v>27</v>
      </c>
      <c r="BR16" s="179" t="s">
        <v>21</v>
      </c>
      <c r="BS16" s="179"/>
      <c r="BT16" s="179" t="s">
        <v>20</v>
      </c>
      <c r="BU16" s="179" t="s">
        <v>28</v>
      </c>
      <c r="BV16" s="179" t="s">
        <v>27</v>
      </c>
      <c r="BW16" s="179" t="s">
        <v>21</v>
      </c>
      <c r="BX16" s="179" t="s">
        <v>34</v>
      </c>
    </row>
    <row r="17" spans="1:76" ht="147" customHeight="1" thickBot="1" x14ac:dyDescent="0.3">
      <c r="A17" s="431" t="s">
        <v>17</v>
      </c>
      <c r="B17" s="8" t="s">
        <v>207</v>
      </c>
      <c r="C17" s="8" t="s">
        <v>101</v>
      </c>
      <c r="D17" s="699" t="s">
        <v>102</v>
      </c>
      <c r="E17" s="700"/>
      <c r="F17" s="8" t="s">
        <v>103</v>
      </c>
      <c r="G17" s="8" t="s">
        <v>52</v>
      </c>
      <c r="H17" s="282" t="s">
        <v>299</v>
      </c>
      <c r="I17" s="671" t="s">
        <v>203</v>
      </c>
      <c r="J17" s="672"/>
      <c r="K17" s="672"/>
      <c r="L17" s="672"/>
      <c r="M17" s="672"/>
      <c r="N17" s="672"/>
      <c r="O17" s="672"/>
      <c r="P17" s="673"/>
      <c r="Q17" s="656" t="s">
        <v>203</v>
      </c>
      <c r="R17" s="657"/>
      <c r="S17" s="657"/>
      <c r="T17" s="657"/>
      <c r="U17" s="658"/>
      <c r="V17" s="647" t="s">
        <v>203</v>
      </c>
      <c r="W17" s="648"/>
      <c r="X17" s="648"/>
      <c r="Y17" s="648"/>
      <c r="Z17" s="649"/>
      <c r="AA17" s="47"/>
      <c r="AB17" s="47"/>
      <c r="AC17" s="47"/>
      <c r="AD17" s="47"/>
      <c r="AE17" s="47"/>
      <c r="AF17" s="429"/>
      <c r="AJ17" s="195" t="s">
        <v>155</v>
      </c>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row>
    <row r="18" spans="1:76" ht="147" customHeight="1" x14ac:dyDescent="0.25">
      <c r="A18" s="438" t="s">
        <v>18</v>
      </c>
      <c r="B18" s="10" t="s">
        <v>313</v>
      </c>
      <c r="C18" s="10" t="s">
        <v>305</v>
      </c>
      <c r="D18" s="606" t="s">
        <v>306</v>
      </c>
      <c r="E18" s="607"/>
      <c r="F18" s="10" t="s">
        <v>307</v>
      </c>
      <c r="G18" s="10" t="s">
        <v>52</v>
      </c>
      <c r="H18" s="285" t="s">
        <v>57</v>
      </c>
      <c r="I18" s="659" t="s">
        <v>308</v>
      </c>
      <c r="J18" s="660"/>
      <c r="K18" s="660"/>
      <c r="L18" s="660"/>
      <c r="M18" s="660"/>
      <c r="N18" s="660"/>
      <c r="O18" s="660"/>
      <c r="P18" s="661"/>
      <c r="Q18" s="656" t="s">
        <v>308</v>
      </c>
      <c r="R18" s="657"/>
      <c r="S18" s="657"/>
      <c r="T18" s="657"/>
      <c r="U18" s="658"/>
      <c r="V18" s="647" t="s">
        <v>308</v>
      </c>
      <c r="W18" s="648"/>
      <c r="X18" s="648"/>
      <c r="Y18" s="648"/>
      <c r="Z18" s="649"/>
      <c r="AA18" s="47"/>
      <c r="AB18" s="47"/>
      <c r="AC18" s="47"/>
      <c r="AD18" s="47"/>
      <c r="AE18" s="47"/>
      <c r="AF18" s="429"/>
      <c r="AJ18" s="195" t="s">
        <v>155</v>
      </c>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row>
    <row r="19" spans="1:76" ht="23.25" x14ac:dyDescent="0.35">
      <c r="A19" s="428"/>
      <c r="B19" s="55"/>
      <c r="C19" s="55"/>
      <c r="D19" s="55"/>
      <c r="E19" s="55"/>
      <c r="F19" s="55"/>
      <c r="G19" s="55"/>
      <c r="H19" s="55"/>
      <c r="I19" s="55"/>
      <c r="J19" s="55"/>
      <c r="K19" s="55"/>
      <c r="L19" s="55"/>
      <c r="M19" s="55"/>
      <c r="N19" s="55"/>
      <c r="O19" s="55"/>
      <c r="P19" s="55"/>
      <c r="Q19" s="47"/>
      <c r="R19" s="47"/>
      <c r="S19" s="47"/>
      <c r="T19" s="47"/>
      <c r="U19" s="47"/>
      <c r="V19" s="47"/>
      <c r="W19" s="47"/>
      <c r="X19" s="47"/>
      <c r="Y19" s="47"/>
      <c r="Z19" s="6"/>
      <c r="AA19" s="6"/>
      <c r="AB19" s="47"/>
      <c r="AC19" s="47"/>
      <c r="AD19" s="47"/>
      <c r="AE19" s="47"/>
      <c r="AF19" s="495"/>
      <c r="AG19" s="65"/>
      <c r="AH19" s="65"/>
      <c r="AI19" s="65"/>
      <c r="AJ19" s="65"/>
      <c r="AK19" s="65"/>
      <c r="AL19" s="65"/>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4"/>
      <c r="BT19" s="54"/>
    </row>
    <row r="20" spans="1:76" ht="23.25" x14ac:dyDescent="0.35">
      <c r="A20" s="439" t="s">
        <v>208</v>
      </c>
      <c r="B20" s="305"/>
      <c r="C20" s="305"/>
      <c r="D20" s="305"/>
      <c r="E20" s="305"/>
      <c r="F20" s="305"/>
      <c r="G20" s="306"/>
      <c r="H20" s="55"/>
      <c r="I20" s="55"/>
      <c r="J20" s="55"/>
      <c r="K20" s="55"/>
      <c r="L20" s="55"/>
      <c r="M20" s="69"/>
      <c r="N20" s="69"/>
      <c r="O20" s="69"/>
      <c r="P20" s="69"/>
      <c r="Q20" s="69"/>
      <c r="R20" s="69"/>
      <c r="S20" s="69"/>
      <c r="T20" s="69"/>
      <c r="U20" s="69"/>
      <c r="V20" s="69"/>
      <c r="W20" s="69"/>
      <c r="X20" s="69"/>
      <c r="Y20" s="69"/>
      <c r="Z20" s="47"/>
      <c r="AA20" s="47"/>
      <c r="AB20" s="47"/>
      <c r="AC20" s="47"/>
      <c r="AD20" s="47"/>
      <c r="AE20" s="47"/>
      <c r="AF20" s="440"/>
      <c r="AG20" s="590"/>
      <c r="AH20" s="590"/>
      <c r="AI20" s="590"/>
      <c r="AJ20" s="590"/>
      <c r="AK20" s="590"/>
      <c r="AL20" s="590"/>
      <c r="AM20" s="590"/>
      <c r="AN20" s="590"/>
      <c r="AO20" s="590"/>
      <c r="AP20" s="590"/>
      <c r="AQ20" s="590"/>
      <c r="AR20" s="590"/>
      <c r="AS20" s="590"/>
      <c r="AT20" s="590"/>
      <c r="AU20" s="590"/>
      <c r="AV20" s="590"/>
      <c r="AW20" s="590"/>
      <c r="AX20" s="590"/>
      <c r="AY20" s="590"/>
      <c r="AZ20" s="590"/>
      <c r="BA20" s="590"/>
      <c r="BB20" s="590"/>
      <c r="BC20" s="590"/>
      <c r="BD20" s="590"/>
      <c r="BE20" s="590"/>
      <c r="BF20" s="590"/>
      <c r="BG20" s="590"/>
      <c r="BH20" s="590"/>
      <c r="BI20" s="590"/>
      <c r="BJ20" s="590"/>
      <c r="BK20" s="590"/>
      <c r="BL20" s="590"/>
      <c r="BM20" s="590"/>
      <c r="BN20" s="590"/>
      <c r="BO20" s="590"/>
      <c r="BP20" s="590"/>
      <c r="BQ20" s="590"/>
      <c r="BR20" s="590"/>
      <c r="BS20" s="590"/>
      <c r="BT20" s="590"/>
    </row>
    <row r="21" spans="1:76" ht="28.5" customHeight="1" x14ac:dyDescent="0.35">
      <c r="A21" s="570" t="s">
        <v>105</v>
      </c>
      <c r="B21" s="571"/>
      <c r="C21" s="571"/>
      <c r="D21" s="571"/>
      <c r="E21" s="571"/>
      <c r="F21" s="571"/>
      <c r="G21" s="572"/>
      <c r="H21" s="284"/>
      <c r="I21" s="55"/>
      <c r="J21" s="55"/>
      <c r="K21" s="55"/>
      <c r="L21" s="55"/>
      <c r="M21" s="71"/>
      <c r="N21" s="71"/>
      <c r="O21" s="71"/>
      <c r="P21" s="47"/>
      <c r="Q21" s="47"/>
      <c r="R21" s="47"/>
      <c r="S21" s="47"/>
      <c r="T21" s="47"/>
      <c r="U21" s="47"/>
      <c r="V21" s="47"/>
      <c r="W21" s="47"/>
      <c r="X21" s="47"/>
      <c r="Y21" s="66"/>
      <c r="Z21" s="67"/>
      <c r="AA21" s="67"/>
      <c r="AB21" s="67"/>
      <c r="AC21" s="67"/>
      <c r="AD21" s="67"/>
      <c r="AE21" s="67"/>
      <c r="AF21" s="443"/>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54"/>
    </row>
    <row r="22" spans="1:76" ht="21" customHeight="1" x14ac:dyDescent="0.35">
      <c r="A22" s="567" t="s">
        <v>106</v>
      </c>
      <c r="B22" s="568"/>
      <c r="C22" s="568"/>
      <c r="D22" s="568"/>
      <c r="E22" s="568"/>
      <c r="F22" s="568"/>
      <c r="G22" s="569"/>
      <c r="H22" s="284"/>
      <c r="I22" s="55"/>
      <c r="J22" s="55"/>
      <c r="K22" s="55"/>
      <c r="L22" s="55"/>
      <c r="M22" s="70"/>
      <c r="N22" s="70"/>
      <c r="O22" s="70"/>
      <c r="P22" s="47"/>
      <c r="Q22" s="47"/>
      <c r="R22" s="47"/>
      <c r="S22" s="47"/>
      <c r="T22" s="47"/>
      <c r="U22" s="47"/>
      <c r="V22" s="47"/>
      <c r="W22" s="47"/>
      <c r="X22" s="47"/>
      <c r="Y22" s="66"/>
      <c r="Z22" s="68"/>
      <c r="AA22" s="68"/>
      <c r="AB22" s="68"/>
      <c r="AC22" s="68"/>
      <c r="AD22" s="68"/>
      <c r="AE22" s="68"/>
      <c r="AF22" s="444"/>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54"/>
    </row>
    <row r="23" spans="1:76" ht="21" customHeight="1" x14ac:dyDescent="0.35">
      <c r="A23" s="581" t="s">
        <v>107</v>
      </c>
      <c r="B23" s="582"/>
      <c r="C23" s="582"/>
      <c r="D23" s="582"/>
      <c r="E23" s="582"/>
      <c r="F23" s="582"/>
      <c r="G23" s="583"/>
      <c r="H23" s="284"/>
      <c r="I23" s="55"/>
      <c r="J23" s="55"/>
      <c r="K23" s="55"/>
      <c r="L23" s="55"/>
      <c r="M23" s="70"/>
      <c r="N23" s="70"/>
      <c r="O23" s="70"/>
      <c r="P23" s="47"/>
      <c r="Q23" s="47"/>
      <c r="R23" s="47"/>
      <c r="S23" s="47"/>
      <c r="T23" s="47"/>
      <c r="U23" s="47"/>
      <c r="V23" s="47"/>
      <c r="W23" s="47"/>
      <c r="X23" s="47"/>
      <c r="Y23" s="66"/>
      <c r="Z23" s="68"/>
      <c r="AA23" s="68"/>
      <c r="AB23" s="68"/>
      <c r="AC23" s="68"/>
      <c r="AD23" s="68"/>
      <c r="AE23" s="68"/>
      <c r="AF23" s="444"/>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54"/>
    </row>
    <row r="24" spans="1:76" ht="21" customHeight="1" x14ac:dyDescent="0.25">
      <c r="A24" s="567" t="s">
        <v>227</v>
      </c>
      <c r="B24" s="568"/>
      <c r="C24" s="568"/>
      <c r="D24" s="568"/>
      <c r="E24" s="568"/>
      <c r="F24" s="568"/>
      <c r="G24" s="569"/>
      <c r="H24" s="284"/>
      <c r="I24" s="349"/>
      <c r="J24" s="349"/>
      <c r="K24" s="349"/>
      <c r="L24" s="349"/>
      <c r="M24" s="70"/>
      <c r="N24" s="70"/>
      <c r="O24" s="70"/>
      <c r="P24" s="47"/>
      <c r="Q24" s="47"/>
      <c r="R24" s="47"/>
      <c r="S24" s="47"/>
      <c r="T24" s="47"/>
      <c r="U24" s="47"/>
      <c r="V24" s="47"/>
      <c r="W24" s="47"/>
      <c r="X24" s="47"/>
      <c r="Y24" s="66"/>
      <c r="Z24" s="68"/>
      <c r="AA24" s="68"/>
      <c r="AB24" s="68"/>
      <c r="AC24" s="68"/>
      <c r="AD24" s="68"/>
      <c r="AE24" s="68"/>
      <c r="AF24" s="444"/>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54"/>
    </row>
    <row r="25" spans="1:76" ht="21" customHeight="1" x14ac:dyDescent="0.25">
      <c r="A25" s="564" t="s">
        <v>260</v>
      </c>
      <c r="B25" s="565"/>
      <c r="C25" s="565"/>
      <c r="D25" s="565"/>
      <c r="E25" s="565"/>
      <c r="F25" s="565"/>
      <c r="G25" s="566"/>
      <c r="H25" s="284"/>
      <c r="I25" s="349"/>
      <c r="J25" s="349"/>
      <c r="K25" s="349"/>
      <c r="L25" s="349"/>
      <c r="M25" s="70"/>
      <c r="N25" s="70"/>
      <c r="O25" s="70"/>
      <c r="P25" s="47"/>
      <c r="Q25" s="47"/>
      <c r="R25" s="47"/>
      <c r="S25" s="47"/>
      <c r="T25" s="47"/>
      <c r="U25" s="47"/>
      <c r="V25" s="47"/>
      <c r="W25" s="47"/>
      <c r="X25" s="47"/>
      <c r="Y25" s="66"/>
      <c r="Z25" s="68"/>
      <c r="AA25" s="68"/>
      <c r="AB25" s="68"/>
      <c r="AC25" s="68"/>
      <c r="AD25" s="68"/>
      <c r="AE25" s="68"/>
      <c r="AF25" s="444"/>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54"/>
    </row>
    <row r="26" spans="1:76" ht="21" customHeight="1" x14ac:dyDescent="0.25">
      <c r="A26" s="696" t="s">
        <v>291</v>
      </c>
      <c r="B26" s="697"/>
      <c r="C26" s="697"/>
      <c r="D26" s="697"/>
      <c r="E26" s="697"/>
      <c r="F26" s="697"/>
      <c r="G26" s="698"/>
      <c r="H26" s="284"/>
      <c r="I26" s="349"/>
      <c r="J26" s="349"/>
      <c r="K26" s="349"/>
      <c r="L26" s="349"/>
      <c r="M26" s="70"/>
      <c r="N26" s="70"/>
      <c r="O26" s="70"/>
      <c r="P26" s="47"/>
      <c r="Q26" s="47"/>
      <c r="R26" s="47"/>
      <c r="S26" s="47"/>
      <c r="T26" s="47"/>
      <c r="U26" s="47"/>
      <c r="V26" s="47"/>
      <c r="W26" s="47"/>
      <c r="X26" s="47"/>
      <c r="Y26" s="66"/>
      <c r="Z26" s="68"/>
      <c r="AA26" s="68"/>
      <c r="AB26" s="68"/>
      <c r="AC26" s="68"/>
      <c r="AD26" s="68"/>
      <c r="AE26" s="68"/>
      <c r="AF26" s="444"/>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54"/>
    </row>
    <row r="27" spans="1:76" ht="23.25" x14ac:dyDescent="0.35">
      <c r="A27" s="428"/>
      <c r="B27" s="47"/>
      <c r="C27" s="47"/>
      <c r="D27" s="47"/>
      <c r="E27" s="47"/>
      <c r="F27" s="47"/>
      <c r="G27" s="47"/>
      <c r="H27" s="55"/>
      <c r="I27" s="47"/>
      <c r="J27" s="47"/>
      <c r="K27" s="47"/>
      <c r="L27" s="47"/>
      <c r="M27" s="47"/>
      <c r="N27" s="47"/>
      <c r="O27" s="47"/>
      <c r="P27" s="47"/>
      <c r="Q27" s="47"/>
      <c r="R27" s="47"/>
      <c r="S27" s="47"/>
      <c r="T27" s="47"/>
      <c r="U27" s="47"/>
      <c r="V27" s="47"/>
      <c r="W27" s="47"/>
      <c r="X27" s="47"/>
      <c r="Y27" s="47"/>
      <c r="Z27" s="47"/>
      <c r="AA27" s="47"/>
      <c r="AB27" s="47"/>
      <c r="AC27" s="47"/>
      <c r="AD27" s="47"/>
      <c r="AE27" s="47"/>
      <c r="AF27" s="440"/>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row>
    <row r="28" spans="1:76" ht="23.25" x14ac:dyDescent="0.35">
      <c r="A28" s="604" t="s">
        <v>336</v>
      </c>
      <c r="B28" s="605"/>
      <c r="C28" s="605"/>
      <c r="D28" s="605"/>
      <c r="E28" s="605"/>
      <c r="F28" s="605"/>
      <c r="G28" s="605"/>
      <c r="H28" s="605"/>
      <c r="I28" s="605"/>
      <c r="J28" s="605"/>
      <c r="K28" s="605"/>
      <c r="L28" s="605"/>
      <c r="M28" s="57"/>
      <c r="N28" s="57"/>
      <c r="O28" s="57"/>
      <c r="P28" s="57"/>
      <c r="Q28" s="57"/>
      <c r="R28" s="57"/>
      <c r="S28" s="57"/>
      <c r="T28" s="57"/>
      <c r="U28" s="57"/>
      <c r="V28" s="57"/>
      <c r="W28" s="57"/>
      <c r="X28" s="58"/>
      <c r="Y28" s="58"/>
      <c r="Z28" s="58"/>
      <c r="AA28" s="58"/>
      <c r="AB28" s="58"/>
      <c r="AC28" s="58"/>
      <c r="AD28" s="58"/>
      <c r="AE28" s="58"/>
      <c r="AF28" s="497"/>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6"/>
      <c r="BR28" s="6"/>
      <c r="BS28" s="6"/>
      <c r="BT28" s="6"/>
    </row>
    <row r="29" spans="1:76" ht="23.25" x14ac:dyDescent="0.35">
      <c r="A29" s="437"/>
      <c r="B29" s="59"/>
      <c r="C29" s="59"/>
      <c r="D29" s="59"/>
      <c r="E29" s="60"/>
      <c r="F29" s="60"/>
      <c r="G29" s="60"/>
      <c r="H29" s="60"/>
      <c r="I29" s="60"/>
      <c r="J29" s="60"/>
      <c r="K29" s="60"/>
      <c r="L29" s="60"/>
      <c r="M29" s="60"/>
      <c r="N29" s="60"/>
      <c r="O29" s="60"/>
      <c r="P29" s="60"/>
      <c r="Q29" s="60"/>
      <c r="R29" s="60"/>
      <c r="S29" s="60"/>
      <c r="T29" s="60"/>
      <c r="U29" s="60"/>
      <c r="V29" s="60"/>
      <c r="W29" s="60"/>
      <c r="X29" s="53"/>
      <c r="Y29" s="53"/>
      <c r="Z29" s="53"/>
      <c r="AA29" s="53"/>
      <c r="AB29" s="53"/>
      <c r="AC29" s="53"/>
      <c r="AD29" s="53"/>
      <c r="AE29" s="53"/>
      <c r="AF29" s="435"/>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row>
    <row r="30" spans="1:76" ht="23.25" x14ac:dyDescent="0.35">
      <c r="A30" s="428"/>
      <c r="B30" s="183" t="s">
        <v>8</v>
      </c>
      <c r="C30" s="190" t="s">
        <v>192</v>
      </c>
      <c r="D30" s="185">
        <v>2019</v>
      </c>
      <c r="E30" s="191">
        <v>2020</v>
      </c>
      <c r="F30" s="60"/>
      <c r="G30" s="60"/>
      <c r="H30" s="60"/>
      <c r="I30" s="60"/>
      <c r="J30" s="60"/>
      <c r="K30" s="60"/>
      <c r="L30" s="60"/>
      <c r="M30" s="55"/>
      <c r="N30" s="55"/>
      <c r="O30" s="55"/>
      <c r="P30" s="55"/>
      <c r="Q30" s="55"/>
      <c r="R30" s="55"/>
      <c r="S30" s="55"/>
      <c r="T30" s="55"/>
      <c r="U30" s="55"/>
      <c r="V30" s="6"/>
      <c r="W30" s="6"/>
      <c r="X30" s="6"/>
      <c r="Y30" s="646"/>
      <c r="Z30" s="646"/>
      <c r="AA30" s="646"/>
      <c r="AB30" s="646"/>
      <c r="AC30" s="646"/>
      <c r="AD30" s="646"/>
      <c r="AE30" s="6"/>
      <c r="AF30" s="432"/>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row>
    <row r="31" spans="1:76" ht="38.25" x14ac:dyDescent="0.35">
      <c r="A31" s="436"/>
      <c r="B31" s="186" t="s">
        <v>25</v>
      </c>
      <c r="C31" s="187">
        <v>9000000</v>
      </c>
      <c r="D31" s="188">
        <v>9000000</v>
      </c>
      <c r="E31" s="192">
        <v>9000000</v>
      </c>
      <c r="F31" s="60"/>
      <c r="G31" s="60"/>
      <c r="H31" s="60"/>
      <c r="I31" s="60"/>
      <c r="J31" s="60"/>
      <c r="K31" s="60"/>
      <c r="L31" s="60"/>
      <c r="M31" s="55"/>
      <c r="N31" s="55"/>
      <c r="O31" s="55"/>
      <c r="P31" s="55"/>
      <c r="Q31" s="55"/>
      <c r="R31" s="55"/>
      <c r="S31" s="55"/>
      <c r="T31" s="55"/>
      <c r="U31" s="55"/>
      <c r="V31" s="6"/>
      <c r="W31" s="6"/>
      <c r="X31" s="347"/>
      <c r="Y31" s="347"/>
      <c r="Z31" s="347"/>
      <c r="AA31" s="347"/>
      <c r="AB31" s="347"/>
      <c r="AC31" s="6"/>
      <c r="AD31" s="6"/>
      <c r="AE31" s="6"/>
      <c r="AF31" s="432"/>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row>
    <row r="32" spans="1:76" ht="38.25" x14ac:dyDescent="0.35">
      <c r="A32" s="428"/>
      <c r="B32" s="132" t="s">
        <v>23</v>
      </c>
      <c r="C32" s="62">
        <v>0</v>
      </c>
      <c r="D32" s="63">
        <v>0</v>
      </c>
      <c r="E32" s="223">
        <v>0</v>
      </c>
      <c r="F32" s="60"/>
      <c r="G32" s="60"/>
      <c r="H32" s="60"/>
      <c r="I32" s="60"/>
      <c r="J32" s="60"/>
      <c r="K32" s="60"/>
      <c r="L32" s="60"/>
      <c r="M32" s="55"/>
      <c r="N32" s="55"/>
      <c r="O32" s="55"/>
      <c r="P32" s="55"/>
      <c r="Q32" s="55"/>
      <c r="R32" s="55"/>
      <c r="S32" s="55"/>
      <c r="T32" s="55"/>
      <c r="U32" s="55"/>
      <c r="V32" s="55"/>
      <c r="W32" s="55"/>
      <c r="X32" s="55"/>
      <c r="Y32" s="6"/>
      <c r="Z32" s="6"/>
      <c r="AA32" s="6"/>
      <c r="AB32" s="347"/>
      <c r="AC32" s="347"/>
      <c r="AD32" s="347"/>
      <c r="AE32" s="347"/>
      <c r="AF32" s="494"/>
      <c r="AG32" s="108"/>
      <c r="AH32" s="108"/>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row>
    <row r="33" spans="1:76" ht="23.25" customHeight="1" x14ac:dyDescent="0.35">
      <c r="A33" s="428"/>
      <c r="B33" s="132" t="s">
        <v>24</v>
      </c>
      <c r="C33" s="62">
        <v>1</v>
      </c>
      <c r="D33" s="63">
        <v>1</v>
      </c>
      <c r="E33" s="223">
        <v>1</v>
      </c>
      <c r="F33" s="60"/>
      <c r="G33" s="60"/>
      <c r="H33" s="60"/>
      <c r="I33" s="60"/>
      <c r="J33" s="60"/>
      <c r="K33" s="60"/>
      <c r="L33" s="60"/>
      <c r="M33" s="55"/>
      <c r="N33" s="55"/>
      <c r="O33" s="55"/>
      <c r="P33" s="55"/>
      <c r="Q33" s="55"/>
      <c r="R33" s="55"/>
      <c r="S33" s="55"/>
      <c r="T33" s="55"/>
      <c r="U33" s="55"/>
      <c r="V33" s="55"/>
      <c r="W33" s="55"/>
      <c r="X33" s="55"/>
      <c r="Y33" s="6"/>
      <c r="Z33" s="6"/>
      <c r="AA33" s="6"/>
      <c r="AB33" s="347"/>
      <c r="AC33" s="347"/>
      <c r="AD33" s="347"/>
      <c r="AE33" s="347"/>
      <c r="AF33" s="494"/>
      <c r="AG33" s="108"/>
      <c r="AH33" s="108"/>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row>
    <row r="34" spans="1:76" ht="23.25" x14ac:dyDescent="0.35">
      <c r="A34" s="428"/>
      <c r="B34" s="47"/>
      <c r="C34" s="47"/>
      <c r="D34" s="55"/>
      <c r="E34" s="55"/>
      <c r="F34" s="55"/>
      <c r="G34" s="55"/>
      <c r="H34" s="55"/>
      <c r="I34" s="55"/>
      <c r="J34" s="55"/>
      <c r="K34" s="55"/>
      <c r="L34" s="55"/>
      <c r="M34" s="55"/>
      <c r="N34" s="55"/>
      <c r="O34" s="55"/>
      <c r="P34" s="55"/>
      <c r="Q34" s="55"/>
      <c r="R34" s="55"/>
      <c r="S34" s="55"/>
      <c r="T34" s="55"/>
      <c r="U34" s="55"/>
      <c r="V34" s="55"/>
      <c r="W34" s="55"/>
      <c r="X34" s="55"/>
      <c r="Y34" s="6"/>
      <c r="Z34" s="6"/>
      <c r="AA34" s="6"/>
      <c r="AB34" s="47"/>
      <c r="AC34" s="47"/>
      <c r="AD34" s="47"/>
      <c r="AE34" s="47"/>
      <c r="AF34" s="429"/>
      <c r="AJ34" s="6"/>
      <c r="AK34" s="6"/>
      <c r="AL34" s="6"/>
      <c r="AM34" s="6"/>
      <c r="AN34" s="61" t="s">
        <v>193</v>
      </c>
      <c r="AO34" s="5"/>
      <c r="AP34" s="5"/>
      <c r="AQ34" s="5"/>
      <c r="AR34" s="5"/>
      <c r="AS34" s="5"/>
      <c r="AT34" s="5"/>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row>
    <row r="35" spans="1:76" ht="21" x14ac:dyDescent="0.35">
      <c r="A35" s="629" t="s">
        <v>209</v>
      </c>
      <c r="B35" s="630"/>
      <c r="C35" s="630"/>
      <c r="D35" s="630"/>
      <c r="E35" s="630"/>
      <c r="F35" s="630"/>
      <c r="G35" s="631"/>
      <c r="H35" s="354"/>
      <c r="I35" s="591" t="s">
        <v>191</v>
      </c>
      <c r="J35" s="592"/>
      <c r="K35" s="592"/>
      <c r="L35" s="592"/>
      <c r="M35" s="592"/>
      <c r="N35" s="592"/>
      <c r="O35" s="592"/>
      <c r="P35" s="593"/>
      <c r="Q35" s="594" t="s">
        <v>355</v>
      </c>
      <c r="R35" s="595"/>
      <c r="S35" s="595"/>
      <c r="T35" s="595"/>
      <c r="U35" s="595"/>
      <c r="V35" s="595"/>
      <c r="W35" s="595"/>
      <c r="X35" s="596"/>
      <c r="Y35" s="559" t="s">
        <v>202</v>
      </c>
      <c r="Z35" s="560"/>
      <c r="AA35" s="560"/>
      <c r="AB35" s="560"/>
      <c r="AC35" s="560"/>
      <c r="AD35" s="560"/>
      <c r="AE35" s="560"/>
      <c r="AF35" s="709"/>
      <c r="AJ35" s="47"/>
      <c r="AK35" s="348" t="s">
        <v>10</v>
      </c>
      <c r="AL35" s="348"/>
      <c r="AM35" s="348"/>
      <c r="AN35" s="348"/>
      <c r="AO35" s="348"/>
      <c r="AP35" s="348" t="s">
        <v>15</v>
      </c>
      <c r="AQ35" s="348"/>
      <c r="AR35" s="348"/>
      <c r="AS35" s="348"/>
      <c r="AT35" s="348"/>
      <c r="AU35" s="348" t="s">
        <v>22</v>
      </c>
      <c r="AV35" s="348"/>
      <c r="AW35" s="348"/>
      <c r="AX35" s="348"/>
      <c r="AY35" s="348"/>
      <c r="AZ35" s="348" t="s">
        <v>12</v>
      </c>
      <c r="BA35" s="348"/>
      <c r="BB35" s="348"/>
      <c r="BC35" s="348"/>
      <c r="BD35" s="348"/>
      <c r="BE35" s="348" t="s">
        <v>13</v>
      </c>
      <c r="BF35" s="348"/>
      <c r="BG35" s="348"/>
      <c r="BH35" s="348"/>
      <c r="BI35" s="348"/>
      <c r="BJ35" s="348" t="s">
        <v>11</v>
      </c>
      <c r="BK35" s="348"/>
      <c r="BL35" s="348"/>
      <c r="BM35" s="348"/>
      <c r="BN35" s="348"/>
      <c r="BO35" s="348" t="s">
        <v>16</v>
      </c>
      <c r="BP35" s="348"/>
      <c r="BQ35" s="348"/>
      <c r="BR35" s="348"/>
      <c r="BS35" s="348"/>
      <c r="BT35" s="348" t="s">
        <v>14</v>
      </c>
      <c r="BU35" s="348"/>
      <c r="BV35" s="348"/>
      <c r="BW35" s="348"/>
      <c r="BX35" s="348"/>
    </row>
    <row r="36" spans="1:76" ht="48" customHeight="1" thickBot="1" x14ac:dyDescent="0.3">
      <c r="A36" s="430" t="s">
        <v>5</v>
      </c>
      <c r="B36" s="34" t="s">
        <v>7</v>
      </c>
      <c r="C36" s="34" t="s">
        <v>2</v>
      </c>
      <c r="D36" s="627" t="s">
        <v>46</v>
      </c>
      <c r="E36" s="628"/>
      <c r="F36" s="350" t="s">
        <v>9</v>
      </c>
      <c r="G36" s="350" t="s">
        <v>0</v>
      </c>
      <c r="H36" s="281" t="s">
        <v>348</v>
      </c>
      <c r="I36" s="678" t="s">
        <v>104</v>
      </c>
      <c r="J36" s="679"/>
      <c r="K36" s="679"/>
      <c r="L36" s="679"/>
      <c r="M36" s="679"/>
      <c r="N36" s="679"/>
      <c r="O36" s="679"/>
      <c r="P36" s="680"/>
      <c r="Q36" s="650" t="s">
        <v>104</v>
      </c>
      <c r="R36" s="651"/>
      <c r="S36" s="651"/>
      <c r="T36" s="651"/>
      <c r="U36" s="651"/>
      <c r="V36" s="651"/>
      <c r="W36" s="651"/>
      <c r="X36" s="652"/>
      <c r="Y36" s="653" t="s">
        <v>104</v>
      </c>
      <c r="Z36" s="654"/>
      <c r="AA36" s="654"/>
      <c r="AB36" s="654"/>
      <c r="AC36" s="654"/>
      <c r="AD36" s="654"/>
      <c r="AE36" s="654"/>
      <c r="AF36" s="704"/>
      <c r="AJ36" s="47"/>
      <c r="AK36" s="179" t="s">
        <v>20</v>
      </c>
      <c r="AL36" s="179" t="s">
        <v>28</v>
      </c>
      <c r="AM36" s="179" t="s">
        <v>27</v>
      </c>
      <c r="AN36" s="179" t="s">
        <v>21</v>
      </c>
      <c r="AO36" s="179" t="s">
        <v>34</v>
      </c>
      <c r="AP36" s="179" t="s">
        <v>20</v>
      </c>
      <c r="AQ36" s="179" t="s">
        <v>28</v>
      </c>
      <c r="AR36" s="179" t="s">
        <v>27</v>
      </c>
      <c r="AS36" s="179" t="s">
        <v>21</v>
      </c>
      <c r="AT36" s="179" t="s">
        <v>34</v>
      </c>
      <c r="AU36" s="179" t="s">
        <v>20</v>
      </c>
      <c r="AV36" s="179" t="s">
        <v>28</v>
      </c>
      <c r="AW36" s="179" t="s">
        <v>27</v>
      </c>
      <c r="AX36" s="179" t="s">
        <v>21</v>
      </c>
      <c r="AY36" s="179" t="s">
        <v>34</v>
      </c>
      <c r="AZ36" s="179" t="s">
        <v>20</v>
      </c>
      <c r="BA36" s="179" t="s">
        <v>28</v>
      </c>
      <c r="BB36" s="179" t="s">
        <v>27</v>
      </c>
      <c r="BC36" s="179" t="s">
        <v>21</v>
      </c>
      <c r="BD36" s="179" t="s">
        <v>34</v>
      </c>
      <c r="BE36" s="179" t="s">
        <v>20</v>
      </c>
      <c r="BF36" s="179" t="s">
        <v>28</v>
      </c>
      <c r="BG36" s="179" t="s">
        <v>27</v>
      </c>
      <c r="BH36" s="179" t="s">
        <v>21</v>
      </c>
      <c r="BI36" s="179" t="s">
        <v>34</v>
      </c>
      <c r="BJ36" s="179" t="s">
        <v>20</v>
      </c>
      <c r="BK36" s="179" t="s">
        <v>28</v>
      </c>
      <c r="BL36" s="179" t="s">
        <v>27</v>
      </c>
      <c r="BM36" s="179" t="s">
        <v>21</v>
      </c>
      <c r="BN36" s="179" t="s">
        <v>34</v>
      </c>
      <c r="BO36" s="179" t="s">
        <v>20</v>
      </c>
      <c r="BP36" s="179" t="s">
        <v>28</v>
      </c>
      <c r="BQ36" s="179" t="s">
        <v>27</v>
      </c>
      <c r="BR36" s="179" t="s">
        <v>21</v>
      </c>
      <c r="BS36" s="179" t="s">
        <v>34</v>
      </c>
      <c r="BT36" s="179" t="s">
        <v>20</v>
      </c>
      <c r="BU36" s="179" t="s">
        <v>28</v>
      </c>
      <c r="BV36" s="179" t="s">
        <v>27</v>
      </c>
      <c r="BW36" s="179" t="s">
        <v>21</v>
      </c>
      <c r="BX36" s="179" t="s">
        <v>34</v>
      </c>
    </row>
    <row r="37" spans="1:76" ht="125.25" customHeight="1" x14ac:dyDescent="0.25">
      <c r="A37" s="431" t="s">
        <v>17</v>
      </c>
      <c r="B37" s="8" t="s">
        <v>115</v>
      </c>
      <c r="C37" s="8" t="s">
        <v>292</v>
      </c>
      <c r="D37" s="699" t="s">
        <v>116</v>
      </c>
      <c r="E37" s="700"/>
      <c r="F37" s="8" t="s">
        <v>117</v>
      </c>
      <c r="G37" s="8" t="s">
        <v>53</v>
      </c>
      <c r="H37" s="282" t="s">
        <v>354</v>
      </c>
      <c r="I37" s="671" t="s">
        <v>318</v>
      </c>
      <c r="J37" s="672"/>
      <c r="K37" s="672"/>
      <c r="L37" s="672"/>
      <c r="M37" s="672"/>
      <c r="N37" s="672"/>
      <c r="O37" s="672"/>
      <c r="P37" s="673"/>
      <c r="Q37" s="656" t="s">
        <v>318</v>
      </c>
      <c r="R37" s="657"/>
      <c r="S37" s="657"/>
      <c r="T37" s="657"/>
      <c r="U37" s="657"/>
      <c r="V37" s="657"/>
      <c r="W37" s="657"/>
      <c r="X37" s="658"/>
      <c r="Y37" s="647" t="s">
        <v>318</v>
      </c>
      <c r="Z37" s="648"/>
      <c r="AA37" s="648"/>
      <c r="AB37" s="648"/>
      <c r="AC37" s="648"/>
      <c r="AD37" s="648"/>
      <c r="AE37" s="648"/>
      <c r="AF37" s="705"/>
      <c r="AJ37" s="52" t="s">
        <v>17</v>
      </c>
      <c r="AK37" s="170"/>
      <c r="AL37" s="170"/>
      <c r="AM37" s="170"/>
      <c r="AN37" s="170"/>
      <c r="AO37" s="170" t="s">
        <v>154</v>
      </c>
      <c r="AP37" s="170"/>
      <c r="AQ37" s="170"/>
      <c r="AR37" s="170"/>
      <c r="AS37" s="170"/>
      <c r="AT37" s="170" t="s">
        <v>154</v>
      </c>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0"/>
      <c r="BQ37" s="170"/>
      <c r="BR37" s="170"/>
      <c r="BS37" s="170"/>
      <c r="BT37" s="170"/>
      <c r="BU37" s="170"/>
      <c r="BV37" s="170"/>
      <c r="BW37" s="170"/>
      <c r="BX37" s="170"/>
    </row>
    <row r="38" spans="1:76" ht="23.25" x14ac:dyDescent="0.35">
      <c r="A38" s="428"/>
      <c r="B38" s="55"/>
      <c r="C38" s="55"/>
      <c r="D38" s="55"/>
      <c r="E38" s="55"/>
      <c r="F38" s="55"/>
      <c r="G38" s="55"/>
      <c r="H38" s="283"/>
      <c r="I38" s="55"/>
      <c r="J38" s="55"/>
      <c r="K38" s="55"/>
      <c r="L38" s="55"/>
      <c r="M38" s="55"/>
      <c r="N38" s="55"/>
      <c r="O38" s="55"/>
      <c r="P38" s="55"/>
      <c r="Q38" s="47"/>
      <c r="R38" s="47"/>
      <c r="S38" s="47"/>
      <c r="T38" s="47"/>
      <c r="U38" s="47"/>
      <c r="V38" s="47"/>
      <c r="W38" s="47"/>
      <c r="X38" s="47"/>
      <c r="Y38" s="47"/>
      <c r="Z38" s="47"/>
      <c r="AA38" s="47"/>
      <c r="AB38" s="47"/>
      <c r="AC38" s="47"/>
      <c r="AD38" s="47"/>
      <c r="AE38" s="47"/>
      <c r="AF38" s="429"/>
      <c r="BR38" s="53"/>
      <c r="BS38" s="54"/>
      <c r="BT38" s="54"/>
    </row>
    <row r="39" spans="1:76" ht="25.5" customHeight="1" x14ac:dyDescent="0.35">
      <c r="A39" s="439" t="s">
        <v>210</v>
      </c>
      <c r="B39" s="305"/>
      <c r="C39" s="305"/>
      <c r="D39" s="305"/>
      <c r="E39" s="305"/>
      <c r="F39" s="305"/>
      <c r="G39" s="306"/>
      <c r="H39" s="284"/>
      <c r="I39" s="55"/>
      <c r="J39" s="55"/>
      <c r="K39" s="55"/>
      <c r="L39" s="55"/>
      <c r="M39" s="69"/>
      <c r="N39" s="69"/>
      <c r="O39" s="69"/>
      <c r="P39" s="69"/>
      <c r="Q39" s="69"/>
      <c r="R39" s="69"/>
      <c r="S39" s="69"/>
      <c r="T39" s="69"/>
      <c r="U39" s="69"/>
      <c r="V39" s="69"/>
      <c r="W39" s="69"/>
      <c r="X39" s="69"/>
      <c r="Y39" s="69"/>
      <c r="Z39" s="47"/>
      <c r="AA39" s="47"/>
      <c r="AB39" s="47"/>
      <c r="AC39" s="47"/>
      <c r="AD39" s="47"/>
      <c r="AE39" s="47"/>
      <c r="AF39" s="440"/>
      <c r="AG39" s="590"/>
      <c r="AH39" s="590"/>
      <c r="AI39" s="590"/>
      <c r="AJ39" s="590"/>
      <c r="AK39" s="590"/>
      <c r="AL39" s="590"/>
      <c r="AM39" s="590"/>
      <c r="AN39" s="590"/>
      <c r="AO39" s="590"/>
      <c r="AP39" s="590"/>
      <c r="AQ39" s="590"/>
      <c r="AR39" s="590"/>
      <c r="AS39" s="590"/>
      <c r="AT39" s="590"/>
      <c r="AU39" s="590"/>
      <c r="AV39" s="590"/>
      <c r="AW39" s="590"/>
      <c r="AX39" s="590"/>
      <c r="AY39" s="590"/>
      <c r="AZ39" s="590"/>
      <c r="BA39" s="590"/>
      <c r="BB39" s="590"/>
      <c r="BC39" s="590"/>
      <c r="BD39" s="590"/>
      <c r="BE39" s="590"/>
      <c r="BF39" s="590"/>
      <c r="BG39" s="590"/>
      <c r="BH39" s="590"/>
      <c r="BI39" s="590"/>
      <c r="BJ39" s="590"/>
      <c r="BK39" s="590"/>
      <c r="BL39" s="590"/>
      <c r="BM39" s="590"/>
      <c r="BN39" s="590"/>
      <c r="BO39" s="590"/>
      <c r="BP39" s="590"/>
      <c r="BQ39" s="590"/>
      <c r="BR39" s="590"/>
      <c r="BS39" s="590"/>
      <c r="BT39" s="590"/>
    </row>
    <row r="40" spans="1:76" ht="15.75" customHeight="1" x14ac:dyDescent="0.35">
      <c r="A40" s="570" t="s">
        <v>108</v>
      </c>
      <c r="B40" s="571"/>
      <c r="C40" s="571"/>
      <c r="D40" s="571"/>
      <c r="E40" s="571"/>
      <c r="F40" s="571"/>
      <c r="G40" s="572"/>
      <c r="H40" s="284"/>
      <c r="I40" s="55"/>
      <c r="J40" s="55"/>
      <c r="K40" s="55"/>
      <c r="L40" s="55"/>
      <c r="M40" s="71"/>
      <c r="N40" s="71"/>
      <c r="O40" s="71"/>
      <c r="P40" s="47"/>
      <c r="Q40" s="47"/>
      <c r="R40" s="47"/>
      <c r="S40" s="47"/>
      <c r="T40" s="47"/>
      <c r="U40" s="47"/>
      <c r="V40" s="47"/>
      <c r="W40" s="47"/>
      <c r="X40" s="47"/>
      <c r="Y40" s="66"/>
      <c r="Z40" s="67"/>
      <c r="AA40" s="67"/>
      <c r="AB40" s="67"/>
      <c r="AC40" s="67"/>
      <c r="AD40" s="67"/>
      <c r="AE40" s="67"/>
      <c r="AF40" s="443"/>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54"/>
    </row>
    <row r="41" spans="1:76" ht="15.75" customHeight="1" x14ac:dyDescent="0.35">
      <c r="A41" s="567" t="s">
        <v>109</v>
      </c>
      <c r="B41" s="568"/>
      <c r="C41" s="568"/>
      <c r="D41" s="568"/>
      <c r="E41" s="568"/>
      <c r="F41" s="568"/>
      <c r="G41" s="569"/>
      <c r="H41" s="284"/>
      <c r="I41" s="55"/>
      <c r="J41" s="55"/>
      <c r="K41" s="55"/>
      <c r="L41" s="55"/>
      <c r="M41" s="70"/>
      <c r="N41" s="70"/>
      <c r="O41" s="70"/>
      <c r="P41" s="47"/>
      <c r="Q41" s="47"/>
      <c r="R41" s="47"/>
      <c r="S41" s="47"/>
      <c r="T41" s="47"/>
      <c r="U41" s="47"/>
      <c r="V41" s="47"/>
      <c r="W41" s="47"/>
      <c r="X41" s="47"/>
      <c r="Y41" s="66"/>
      <c r="Z41" s="68"/>
      <c r="AA41" s="68"/>
      <c r="AB41" s="68"/>
      <c r="AC41" s="68"/>
      <c r="AD41" s="68"/>
      <c r="AE41" s="68"/>
      <c r="AF41" s="444"/>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54"/>
    </row>
    <row r="42" spans="1:76" ht="15.75" customHeight="1" x14ac:dyDescent="0.35">
      <c r="A42" s="581" t="s">
        <v>110</v>
      </c>
      <c r="B42" s="582"/>
      <c r="C42" s="582"/>
      <c r="D42" s="582"/>
      <c r="E42" s="582"/>
      <c r="F42" s="582"/>
      <c r="G42" s="583"/>
      <c r="H42" s="284"/>
      <c r="I42" s="55"/>
      <c r="J42" s="55"/>
      <c r="K42" s="55"/>
      <c r="L42" s="55"/>
      <c r="M42" s="70"/>
      <c r="N42" s="70"/>
      <c r="O42" s="70"/>
      <c r="P42" s="47"/>
      <c r="Q42" s="47"/>
      <c r="R42" s="47"/>
      <c r="S42" s="47"/>
      <c r="T42" s="47"/>
      <c r="U42" s="47"/>
      <c r="V42" s="47"/>
      <c r="W42" s="47"/>
      <c r="X42" s="47"/>
      <c r="Y42" s="66"/>
      <c r="Z42" s="68"/>
      <c r="AA42" s="68"/>
      <c r="AB42" s="68"/>
      <c r="AC42" s="68"/>
      <c r="AD42" s="68"/>
      <c r="AE42" s="68"/>
      <c r="AF42" s="444"/>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54"/>
    </row>
    <row r="43" spans="1:76" ht="15.75" customHeight="1" x14ac:dyDescent="0.35">
      <c r="A43" s="567" t="s">
        <v>111</v>
      </c>
      <c r="B43" s="568"/>
      <c r="C43" s="568"/>
      <c r="D43" s="568"/>
      <c r="E43" s="568"/>
      <c r="F43" s="568"/>
      <c r="G43" s="569"/>
      <c r="H43" s="284"/>
      <c r="I43" s="55"/>
      <c r="J43" s="55"/>
      <c r="K43" s="55"/>
      <c r="L43" s="55"/>
      <c r="M43" s="47"/>
      <c r="N43" s="47"/>
      <c r="O43" s="47"/>
      <c r="P43" s="47"/>
      <c r="Q43" s="47"/>
      <c r="R43" s="47"/>
      <c r="S43" s="47"/>
      <c r="T43" s="47"/>
      <c r="U43" s="47"/>
      <c r="V43" s="47"/>
      <c r="W43" s="47"/>
      <c r="X43" s="47"/>
      <c r="Y43" s="47"/>
      <c r="Z43" s="47"/>
      <c r="AA43" s="47"/>
      <c r="AB43" s="47"/>
      <c r="AC43" s="47"/>
      <c r="AD43" s="47"/>
      <c r="AE43" s="47"/>
      <c r="AF43" s="429"/>
    </row>
    <row r="44" spans="1:76" ht="15.75" customHeight="1" x14ac:dyDescent="0.35">
      <c r="A44" s="581" t="s">
        <v>112</v>
      </c>
      <c r="B44" s="582"/>
      <c r="C44" s="582"/>
      <c r="D44" s="582"/>
      <c r="E44" s="582"/>
      <c r="F44" s="582"/>
      <c r="G44" s="583"/>
      <c r="H44" s="284"/>
      <c r="I44" s="55"/>
      <c r="J44" s="55"/>
      <c r="K44" s="55"/>
      <c r="L44" s="55"/>
      <c r="M44" s="47"/>
      <c r="N44" s="47"/>
      <c r="O44" s="47"/>
      <c r="P44" s="47"/>
      <c r="Q44" s="47"/>
      <c r="R44" s="47"/>
      <c r="S44" s="47"/>
      <c r="T44" s="47"/>
      <c r="U44" s="47"/>
      <c r="V44" s="47"/>
      <c r="W44" s="47"/>
      <c r="X44" s="47"/>
      <c r="Y44" s="47"/>
      <c r="Z44" s="47"/>
      <c r="AA44" s="47"/>
      <c r="AB44" s="47"/>
      <c r="AC44" s="47"/>
      <c r="AD44" s="47"/>
      <c r="AE44" s="47"/>
      <c r="AF44" s="429"/>
    </row>
    <row r="45" spans="1:76" ht="28.5" customHeight="1" x14ac:dyDescent="0.35">
      <c r="A45" s="567" t="s">
        <v>217</v>
      </c>
      <c r="B45" s="568"/>
      <c r="C45" s="568"/>
      <c r="D45" s="568"/>
      <c r="E45" s="568"/>
      <c r="F45" s="568"/>
      <c r="G45" s="569"/>
      <c r="H45" s="284"/>
      <c r="I45" s="55"/>
      <c r="J45" s="55"/>
      <c r="K45" s="55"/>
      <c r="L45" s="55"/>
      <c r="M45" s="47"/>
      <c r="N45" s="47"/>
      <c r="O45" s="47"/>
      <c r="P45" s="47"/>
      <c r="Q45" s="47"/>
      <c r="R45" s="47"/>
      <c r="S45" s="47"/>
      <c r="T45" s="47"/>
      <c r="U45" s="47"/>
      <c r="V45" s="47"/>
      <c r="W45" s="47"/>
      <c r="X45" s="47"/>
      <c r="Y45" s="47"/>
      <c r="Z45" s="47"/>
      <c r="AA45" s="47"/>
      <c r="AB45" s="47"/>
      <c r="AC45" s="47"/>
      <c r="AD45" s="47"/>
      <c r="AE45" s="47"/>
      <c r="AF45" s="429"/>
    </row>
    <row r="46" spans="1:76" ht="15.75" customHeight="1" x14ac:dyDescent="0.35">
      <c r="A46" s="581" t="s">
        <v>113</v>
      </c>
      <c r="B46" s="582"/>
      <c r="C46" s="582"/>
      <c r="D46" s="582"/>
      <c r="E46" s="582"/>
      <c r="F46" s="582"/>
      <c r="G46" s="583"/>
      <c r="H46" s="284"/>
      <c r="I46" s="55"/>
      <c r="J46" s="55"/>
      <c r="K46" s="55"/>
      <c r="L46" s="55"/>
      <c r="M46" s="47"/>
      <c r="N46" s="47"/>
      <c r="O46" s="47"/>
      <c r="P46" s="47"/>
      <c r="Q46" s="47"/>
      <c r="R46" s="47"/>
      <c r="S46" s="47"/>
      <c r="T46" s="47"/>
      <c r="U46" s="47"/>
      <c r="V46" s="47"/>
      <c r="W46" s="47"/>
      <c r="X46" s="47"/>
      <c r="Y46" s="47"/>
      <c r="Z46" s="47"/>
      <c r="AA46" s="47"/>
      <c r="AB46" s="47"/>
      <c r="AC46" s="47"/>
      <c r="AD46" s="47"/>
      <c r="AE46" s="47"/>
      <c r="AF46" s="429"/>
    </row>
    <row r="47" spans="1:76" ht="15.75" customHeight="1" x14ac:dyDescent="0.35">
      <c r="A47" s="567" t="s">
        <v>114</v>
      </c>
      <c r="B47" s="568"/>
      <c r="C47" s="568"/>
      <c r="D47" s="568"/>
      <c r="E47" s="568"/>
      <c r="F47" s="568"/>
      <c r="G47" s="569"/>
      <c r="H47" s="284"/>
      <c r="I47" s="55"/>
      <c r="J47" s="55"/>
      <c r="K47" s="55"/>
      <c r="L47" s="55"/>
      <c r="M47" s="47"/>
      <c r="N47" s="47"/>
      <c r="O47" s="47"/>
      <c r="P47" s="47"/>
      <c r="Q47" s="47"/>
      <c r="R47" s="47"/>
      <c r="S47" s="47"/>
      <c r="T47" s="47"/>
      <c r="U47" s="47"/>
      <c r="V47" s="47"/>
      <c r="W47" s="47"/>
      <c r="X47" s="47"/>
      <c r="Y47" s="47"/>
      <c r="Z47" s="47"/>
      <c r="AA47" s="47"/>
      <c r="AB47" s="47"/>
      <c r="AC47" s="47"/>
      <c r="AD47" s="47"/>
      <c r="AE47" s="47"/>
      <c r="AF47" s="429"/>
    </row>
    <row r="48" spans="1:76" ht="15.75" customHeight="1" x14ac:dyDescent="0.35">
      <c r="A48" s="701" t="s">
        <v>294</v>
      </c>
      <c r="B48" s="702"/>
      <c r="C48" s="702"/>
      <c r="D48" s="702"/>
      <c r="E48" s="702"/>
      <c r="F48" s="702"/>
      <c r="G48" s="703"/>
      <c r="H48" s="284"/>
      <c r="I48" s="55"/>
      <c r="J48" s="55"/>
      <c r="K48" s="55"/>
      <c r="L48" s="55"/>
      <c r="M48" s="47"/>
      <c r="N48" s="47"/>
      <c r="O48" s="47"/>
      <c r="P48" s="47"/>
      <c r="Q48" s="47"/>
      <c r="R48" s="47"/>
      <c r="S48" s="47"/>
      <c r="T48" s="47"/>
      <c r="U48" s="47"/>
      <c r="V48" s="47"/>
      <c r="W48" s="47"/>
      <c r="X48" s="47"/>
      <c r="Y48" s="47"/>
      <c r="Z48" s="47"/>
      <c r="AA48" s="47"/>
      <c r="AB48" s="47"/>
      <c r="AC48" s="47"/>
      <c r="AD48" s="47"/>
      <c r="AE48" s="47"/>
      <c r="AF48" s="429"/>
    </row>
    <row r="49" spans="1:32" ht="17.25" customHeight="1" x14ac:dyDescent="0.35">
      <c r="A49" s="693" t="s">
        <v>324</v>
      </c>
      <c r="B49" s="694"/>
      <c r="C49" s="694"/>
      <c r="D49" s="694"/>
      <c r="E49" s="694"/>
      <c r="F49" s="694"/>
      <c r="G49" s="695"/>
      <c r="H49" s="55"/>
      <c r="I49" s="47"/>
      <c r="J49" s="47"/>
      <c r="K49" s="47"/>
      <c r="L49" s="47"/>
      <c r="M49" s="47"/>
      <c r="N49" s="47"/>
      <c r="O49" s="47"/>
      <c r="P49" s="47"/>
      <c r="Q49" s="47"/>
      <c r="R49" s="47"/>
      <c r="S49" s="47"/>
      <c r="T49" s="47"/>
      <c r="U49" s="47"/>
      <c r="V49" s="47"/>
      <c r="W49" s="47"/>
      <c r="X49" s="47"/>
      <c r="Y49" s="47"/>
      <c r="Z49" s="47"/>
      <c r="AA49" s="47"/>
      <c r="AB49" s="47"/>
      <c r="AC49" s="47"/>
      <c r="AD49" s="47"/>
      <c r="AE49" s="47"/>
      <c r="AF49" s="429"/>
    </row>
    <row r="50" spans="1:32" ht="24" thickBot="1" x14ac:dyDescent="0.4">
      <c r="A50" s="445"/>
      <c r="B50" s="446"/>
      <c r="C50" s="446"/>
      <c r="D50" s="446"/>
      <c r="E50" s="446"/>
      <c r="F50" s="446"/>
      <c r="G50" s="446"/>
      <c r="H50" s="49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7"/>
    </row>
    <row r="51" spans="1:32" ht="23.25" x14ac:dyDescent="0.35">
      <c r="H51" s="55"/>
    </row>
    <row r="52" spans="1:32" ht="23.25" x14ac:dyDescent="0.35">
      <c r="H52" s="55"/>
    </row>
  </sheetData>
  <mergeCells count="83">
    <mergeCell ref="Y36:AF36"/>
    <mergeCell ref="Y37:AF37"/>
    <mergeCell ref="S5:W5"/>
    <mergeCell ref="S6:W6"/>
    <mergeCell ref="A23:G23"/>
    <mergeCell ref="Q36:X36"/>
    <mergeCell ref="Q37:X37"/>
    <mergeCell ref="Q35:X35"/>
    <mergeCell ref="A8:G8"/>
    <mergeCell ref="I16:P16"/>
    <mergeCell ref="D17:E17"/>
    <mergeCell ref="I17:P17"/>
    <mergeCell ref="A24:G24"/>
    <mergeCell ref="Y30:AD30"/>
    <mergeCell ref="Y35:AF35"/>
    <mergeCell ref="A49:G49"/>
    <mergeCell ref="A25:G25"/>
    <mergeCell ref="A26:G26"/>
    <mergeCell ref="I36:P36"/>
    <mergeCell ref="D37:E37"/>
    <mergeCell ref="I37:P37"/>
    <mergeCell ref="A48:G48"/>
    <mergeCell ref="D36:E36"/>
    <mergeCell ref="I35:P35"/>
    <mergeCell ref="A35:G35"/>
    <mergeCell ref="A28:L28"/>
    <mergeCell ref="A1:AF1"/>
    <mergeCell ref="H2:AF2"/>
    <mergeCell ref="D5:E5"/>
    <mergeCell ref="I5:M5"/>
    <mergeCell ref="D6:E6"/>
    <mergeCell ref="I6:M6"/>
    <mergeCell ref="A2:G3"/>
    <mergeCell ref="S3:W3"/>
    <mergeCell ref="D4:E4"/>
    <mergeCell ref="I4:M4"/>
    <mergeCell ref="N3:R3"/>
    <mergeCell ref="N4:R4"/>
    <mergeCell ref="I3:M3"/>
    <mergeCell ref="N5:R5"/>
    <mergeCell ref="N6:R6"/>
    <mergeCell ref="S4:W4"/>
    <mergeCell ref="V17:Z17"/>
    <mergeCell ref="Q16:U16"/>
    <mergeCell ref="V16:Z16"/>
    <mergeCell ref="Q17:U17"/>
    <mergeCell ref="D18:E18"/>
    <mergeCell ref="I18:P18"/>
    <mergeCell ref="Q18:U18"/>
    <mergeCell ref="V18:Z18"/>
    <mergeCell ref="D16:E16"/>
    <mergeCell ref="Y10:AD10"/>
    <mergeCell ref="A15:G15"/>
    <mergeCell ref="Q15:U15"/>
    <mergeCell ref="AK15:AO15"/>
    <mergeCell ref="H15:P15"/>
    <mergeCell ref="V15:Z15"/>
    <mergeCell ref="BP20:BT20"/>
    <mergeCell ref="BF20:BJ20"/>
    <mergeCell ref="BK20:BO20"/>
    <mergeCell ref="A21:G21"/>
    <mergeCell ref="A22:G22"/>
    <mergeCell ref="BA20:BE20"/>
    <mergeCell ref="AL20:AP20"/>
    <mergeCell ref="AQ20:AU20"/>
    <mergeCell ref="AV20:AZ20"/>
    <mergeCell ref="AG20:AK20"/>
    <mergeCell ref="AG39:AK39"/>
    <mergeCell ref="AL39:AP39"/>
    <mergeCell ref="BK39:BO39"/>
    <mergeCell ref="BP39:BT39"/>
    <mergeCell ref="A47:G47"/>
    <mergeCell ref="A41:G41"/>
    <mergeCell ref="A42:G42"/>
    <mergeCell ref="A43:G43"/>
    <mergeCell ref="A44:G44"/>
    <mergeCell ref="A45:G45"/>
    <mergeCell ref="A46:G46"/>
    <mergeCell ref="A40:G40"/>
    <mergeCell ref="AQ39:AU39"/>
    <mergeCell ref="AV39:AZ39"/>
    <mergeCell ref="BA39:BE39"/>
    <mergeCell ref="BF39:BJ39"/>
  </mergeCells>
  <pageMargins left="0.7" right="0.7" top="0.75" bottom="0.75" header="0.3" footer="0.3"/>
  <pageSetup paperSize="9" scale="15"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25"/>
  <sheetViews>
    <sheetView zoomScale="50" zoomScaleNormal="50" zoomScalePageLayoutView="50" workbookViewId="0">
      <pane xSplit="5" ySplit="5" topLeftCell="P6" activePane="bottomRight" state="frozen"/>
      <selection pane="topRight" activeCell="F1" sqref="F1"/>
      <selection pane="bottomLeft" activeCell="A6" sqref="A6"/>
      <selection pane="bottomRight" activeCell="X14" sqref="X14"/>
    </sheetView>
  </sheetViews>
  <sheetFormatPr defaultColWidth="10.140625" defaultRowHeight="15.75" x14ac:dyDescent="0.25"/>
  <cols>
    <col min="1" max="1" width="8.5703125" style="93" customWidth="1"/>
    <col min="2" max="2" width="55.7109375" style="89" customWidth="1"/>
    <col min="3" max="3" width="49.140625" style="89" customWidth="1"/>
    <col min="4" max="4" width="37.140625" style="90" customWidth="1"/>
    <col min="5" max="5" width="39.5703125" style="91" customWidth="1"/>
    <col min="6" max="6" width="25.85546875" style="91" customWidth="1"/>
    <col min="7" max="13" width="30.140625" style="91" customWidth="1"/>
    <col min="14" max="14" width="26.42578125" style="92" customWidth="1"/>
    <col min="15" max="17" width="26.140625" style="92" customWidth="1"/>
    <col min="18" max="18" width="23.85546875" style="89" customWidth="1"/>
    <col min="19" max="19" width="16.42578125" style="89" bestFit="1" customWidth="1"/>
    <col min="20" max="20" width="12.42578125" style="89" customWidth="1"/>
    <col min="21" max="21" width="15.28515625" style="89" customWidth="1"/>
    <col min="22" max="22" width="10.140625" style="89" customWidth="1"/>
    <col min="23" max="23" width="19.28515625" style="89" customWidth="1"/>
    <col min="24" max="24" width="12.140625" style="89" customWidth="1"/>
    <col min="25" max="25" width="17.5703125" style="89" customWidth="1"/>
    <col min="26" max="26" width="22.42578125" style="89" bestFit="1" customWidth="1"/>
    <col min="27" max="36" width="22.42578125" style="89" customWidth="1"/>
    <col min="37" max="37" width="15" style="89" customWidth="1"/>
    <col min="38" max="16384" width="10.140625" style="89"/>
  </cols>
  <sheetData>
    <row r="1" spans="1:38" ht="26.25" customHeight="1" x14ac:dyDescent="0.3">
      <c r="A1" s="498" t="s">
        <v>200</v>
      </c>
      <c r="B1" s="499"/>
      <c r="C1" s="499"/>
      <c r="D1" s="500"/>
      <c r="E1" s="501"/>
      <c r="F1" s="501"/>
      <c r="G1" s="501"/>
      <c r="H1" s="501"/>
      <c r="I1" s="501"/>
      <c r="J1" s="501"/>
      <c r="K1" s="501"/>
      <c r="L1" s="501"/>
      <c r="M1" s="501"/>
      <c r="N1" s="502"/>
      <c r="O1" s="502"/>
      <c r="P1" s="502"/>
      <c r="Q1" s="502"/>
      <c r="R1" s="503" t="s">
        <v>255</v>
      </c>
      <c r="S1" s="504"/>
      <c r="T1" s="503"/>
      <c r="U1" s="503"/>
      <c r="V1" s="503">
        <f>(S2+AA2+AG2)/3</f>
        <v>8071.9230769230771</v>
      </c>
      <c r="W1" s="712">
        <f>S4/SUM(S4:V4)</f>
        <v>0.58123176662634313</v>
      </c>
    </row>
    <row r="2" spans="1:38" ht="24" customHeight="1" thickBot="1" x14ac:dyDescent="0.35">
      <c r="A2" s="505" t="s">
        <v>123</v>
      </c>
      <c r="B2" s="506"/>
      <c r="C2" s="506"/>
      <c r="D2" s="507"/>
      <c r="E2" s="508"/>
      <c r="F2" s="508"/>
      <c r="G2" s="508"/>
      <c r="H2" s="508"/>
      <c r="I2" s="508"/>
      <c r="J2" s="508"/>
      <c r="K2" s="508"/>
      <c r="L2" s="508"/>
      <c r="M2" s="508"/>
      <c r="N2" s="509"/>
      <c r="O2" s="510">
        <v>2018</v>
      </c>
      <c r="P2" s="510">
        <v>2019</v>
      </c>
      <c r="Q2" s="510">
        <v>2020</v>
      </c>
      <c r="R2" s="511" t="s">
        <v>256</v>
      </c>
      <c r="S2" s="512">
        <f>S3+T3+U3+V3</f>
        <v>8011.9230769230753</v>
      </c>
      <c r="T2" s="248"/>
      <c r="U2" s="248"/>
      <c r="V2" s="248"/>
      <c r="W2" s="713"/>
      <c r="Y2" s="290">
        <f>40000000/21000000</f>
        <v>1.9047619047619047</v>
      </c>
      <c r="Z2" s="302" t="s">
        <v>257</v>
      </c>
      <c r="AA2" s="301">
        <f>AA3+AB3+AC3+AD3</f>
        <v>7996.9230769230771</v>
      </c>
      <c r="AF2" s="302" t="s">
        <v>258</v>
      </c>
      <c r="AG2" s="301">
        <f>AG3+AH3+AI3+AJ3</f>
        <v>8206.923076923078</v>
      </c>
    </row>
    <row r="3" spans="1:38" ht="37.5" customHeight="1" thickBot="1" x14ac:dyDescent="0.3">
      <c r="A3" s="513"/>
      <c r="B3" s="506"/>
      <c r="C3" s="506"/>
      <c r="D3" s="507"/>
      <c r="E3" s="508"/>
      <c r="F3" s="508"/>
      <c r="G3" s="508"/>
      <c r="H3" s="508"/>
      <c r="I3" s="508"/>
      <c r="J3" s="508"/>
      <c r="K3" s="508"/>
      <c r="L3" s="508"/>
      <c r="M3" s="508"/>
      <c r="N3" s="342" t="s">
        <v>134</v>
      </c>
      <c r="O3" s="343">
        <f>O4+O16+O21</f>
        <v>207875000</v>
      </c>
      <c r="P3" s="344">
        <f>P4+P16+P21</f>
        <v>200325000</v>
      </c>
      <c r="Q3" s="344">
        <f>Q4+Q16+Q21</f>
        <v>189225000</v>
      </c>
      <c r="R3" s="299" t="s">
        <v>254</v>
      </c>
      <c r="S3" s="300">
        <f>S10+S11+S12</f>
        <v>5934.2179487179483</v>
      </c>
      <c r="T3" s="300">
        <f>T10+T11+T12</f>
        <v>1782.1089743589741</v>
      </c>
      <c r="U3" s="300">
        <f>U10+U11+U12</f>
        <v>208.81730769230771</v>
      </c>
      <c r="V3" s="300">
        <f>V10+V11+V12</f>
        <v>86.77884615384616</v>
      </c>
      <c r="W3" s="713"/>
      <c r="Y3" s="290">
        <f>19000000/40000000</f>
        <v>0.47499999999999998</v>
      </c>
      <c r="Z3" s="299" t="s">
        <v>253</v>
      </c>
      <c r="AA3" s="300">
        <f>AA10+AA11+AA12</f>
        <v>5901.3846153846152</v>
      </c>
      <c r="AB3" s="300">
        <f>AB10+AB11+AB12</f>
        <v>1795.136752136752</v>
      </c>
      <c r="AC3" s="300">
        <f>AC10+AC11+AC12</f>
        <v>211.97008547008548</v>
      </c>
      <c r="AD3" s="300">
        <f>AD10+AD11+AD12</f>
        <v>88.431623931623932</v>
      </c>
      <c r="AF3" s="299" t="s">
        <v>283</v>
      </c>
      <c r="AG3" s="300">
        <f>AG10+AG11+AG12</f>
        <v>6011.0512820512822</v>
      </c>
      <c r="AH3" s="300">
        <f>AH10+AH11+AH12</f>
        <v>1876.9145299145298</v>
      </c>
      <c r="AI3" s="300">
        <f>AI10+AI11+AI12</f>
        <v>224.74786324786325</v>
      </c>
      <c r="AJ3" s="300">
        <f>AJ10+AJ11+AJ12</f>
        <v>94.209401709401703</v>
      </c>
    </row>
    <row r="4" spans="1:38" ht="105.75" customHeight="1" thickBot="1" x14ac:dyDescent="0.3">
      <c r="A4" s="355">
        <v>1</v>
      </c>
      <c r="B4" s="339" t="s">
        <v>331</v>
      </c>
      <c r="C4" s="356"/>
      <c r="D4" s="339" t="s">
        <v>163</v>
      </c>
      <c r="E4" s="356"/>
      <c r="F4" s="356"/>
      <c r="G4" s="356"/>
      <c r="H4" s="356"/>
      <c r="I4" s="356"/>
      <c r="J4" s="356"/>
      <c r="K4" s="357"/>
      <c r="L4" s="357"/>
      <c r="M4" s="358" t="s">
        <v>274</v>
      </c>
      <c r="N4" s="359"/>
      <c r="O4" s="360">
        <f>O6+O7+O8+O9+O11+O12+O14</f>
        <v>170125000</v>
      </c>
      <c r="P4" s="360">
        <f>P6+P7+P8+P9+P11+P12+P14</f>
        <v>162575000</v>
      </c>
      <c r="Q4" s="361">
        <f>Q6+Q7+Q8+Q9+Q11+Q12+Q14</f>
        <v>151475000</v>
      </c>
      <c r="R4" s="317" t="s">
        <v>124</v>
      </c>
      <c r="S4" s="95">
        <f>S10+S11+S12+S14+S18</f>
        <v>35259.217948717953</v>
      </c>
      <c r="T4" s="95">
        <f>T10+T11+T12+T14+T18</f>
        <v>22475.108974358973</v>
      </c>
      <c r="U4" s="95">
        <f>U10+U11+U12+U14+U18</f>
        <v>2051.8173076923076</v>
      </c>
      <c r="V4" s="95">
        <f>V10+V11+V12+V14+V18</f>
        <v>876.77884615384619</v>
      </c>
      <c r="W4" s="713"/>
      <c r="X4" s="89" t="s">
        <v>250</v>
      </c>
      <c r="Y4" s="163"/>
      <c r="Z4" s="316" t="s">
        <v>124</v>
      </c>
      <c r="AA4" s="95">
        <f>AA10+AA11+AA12+AA14+AA18</f>
        <v>35226.384615384617</v>
      </c>
      <c r="AB4" s="95">
        <f>AB10+AB11+AB12+AB14+AB18</f>
        <v>22488.13675213675</v>
      </c>
      <c r="AC4" s="95">
        <f>AC10+AC11+AC12+AC14+AC18</f>
        <v>2054.9700854700855</v>
      </c>
      <c r="AD4" s="95">
        <f>AD10+AD11+AD12+AD14+AD18</f>
        <v>878.4316239316239</v>
      </c>
      <c r="AE4" s="163"/>
      <c r="AF4" s="316" t="s">
        <v>124</v>
      </c>
      <c r="AG4" s="95">
        <f>AG10+AG11+AG12+AG14+AG18</f>
        <v>35336.051282051281</v>
      </c>
      <c r="AH4" s="95">
        <f>AH10+AH11+AH12+AH14+AH18</f>
        <v>22569.914529914531</v>
      </c>
      <c r="AI4" s="95">
        <f>AI10+AI11+AI12+AI14+AI18</f>
        <v>2067.7478632478633</v>
      </c>
      <c r="AJ4" s="95">
        <f>AJ10+AJ11+AJ12+AJ14+AJ18</f>
        <v>884.20940170940173</v>
      </c>
    </row>
    <row r="5" spans="1:38" s="143" customFormat="1" ht="39" customHeight="1" thickBot="1" x14ac:dyDescent="0.3">
      <c r="A5" s="362"/>
      <c r="B5" s="138" t="s">
        <v>125</v>
      </c>
      <c r="C5" s="139" t="s">
        <v>126</v>
      </c>
      <c r="D5" s="242" t="s">
        <v>127</v>
      </c>
      <c r="E5" s="242" t="s">
        <v>128</v>
      </c>
      <c r="F5" s="242" t="s">
        <v>9</v>
      </c>
      <c r="G5" s="242" t="s">
        <v>33</v>
      </c>
      <c r="H5" s="242" t="s">
        <v>194</v>
      </c>
      <c r="I5" s="242" t="s">
        <v>43</v>
      </c>
      <c r="J5" s="242" t="s">
        <v>130</v>
      </c>
      <c r="K5" s="243" t="s">
        <v>131</v>
      </c>
      <c r="L5" s="243" t="s">
        <v>132</v>
      </c>
      <c r="M5" s="142" t="s">
        <v>133</v>
      </c>
      <c r="N5" s="140" t="s">
        <v>134</v>
      </c>
      <c r="O5" s="140">
        <v>2018</v>
      </c>
      <c r="P5" s="140">
        <v>2019</v>
      </c>
      <c r="Q5" s="140">
        <v>2020</v>
      </c>
      <c r="R5" s="254" t="s">
        <v>135</v>
      </c>
      <c r="S5" s="246" t="s">
        <v>4</v>
      </c>
      <c r="T5" s="246" t="s">
        <v>77</v>
      </c>
      <c r="U5" s="246" t="s">
        <v>27</v>
      </c>
      <c r="V5" s="246" t="s">
        <v>28</v>
      </c>
      <c r="W5" s="713"/>
      <c r="X5" s="89"/>
      <c r="Y5" s="163"/>
      <c r="Z5" s="253" t="s">
        <v>230</v>
      </c>
      <c r="AA5" s="246" t="s">
        <v>4</v>
      </c>
      <c r="AB5" s="246" t="s">
        <v>77</v>
      </c>
      <c r="AC5" s="246" t="s">
        <v>27</v>
      </c>
      <c r="AD5" s="246" t="s">
        <v>28</v>
      </c>
      <c r="AE5" s="152"/>
      <c r="AF5" s="246" t="s">
        <v>230</v>
      </c>
      <c r="AG5" s="246" t="str">
        <f>AA5</f>
        <v>Leb</v>
      </c>
      <c r="AH5" s="246" t="str">
        <f>AB5</f>
        <v>Syr</v>
      </c>
      <c r="AI5" s="246" t="str">
        <f>AC5</f>
        <v>PRL</v>
      </c>
      <c r="AJ5" s="246" t="str">
        <f>AD5</f>
        <v>PRS</v>
      </c>
    </row>
    <row r="6" spans="1:38" ht="115.5" customHeight="1" thickBot="1" x14ac:dyDescent="0.3">
      <c r="A6" s="718">
        <v>1.1000000000000001</v>
      </c>
      <c r="B6" s="721" t="s">
        <v>356</v>
      </c>
      <c r="C6" s="724" t="s">
        <v>136</v>
      </c>
      <c r="D6" s="727" t="s">
        <v>357</v>
      </c>
      <c r="E6" s="363" t="s">
        <v>284</v>
      </c>
      <c r="F6" s="364" t="s">
        <v>137</v>
      </c>
      <c r="G6" s="364">
        <v>2000</v>
      </c>
      <c r="H6" s="364">
        <v>1900</v>
      </c>
      <c r="I6" s="364">
        <v>1750</v>
      </c>
      <c r="J6" s="365">
        <v>10000</v>
      </c>
      <c r="K6" s="219">
        <v>1</v>
      </c>
      <c r="L6" s="366">
        <v>1</v>
      </c>
      <c r="M6" s="219">
        <f>L6*G6</f>
        <v>2000</v>
      </c>
      <c r="N6" s="365">
        <f>O6+P6+Q6</f>
        <v>56500000</v>
      </c>
      <c r="O6" s="365">
        <f>J6*G6</f>
        <v>20000000</v>
      </c>
      <c r="P6" s="365">
        <f>J6*H6</f>
        <v>19000000</v>
      </c>
      <c r="Q6" s="365">
        <f>J6*I6</f>
        <v>17500000</v>
      </c>
      <c r="R6" s="247">
        <f>M6-SUM(S6:V6)</f>
        <v>0</v>
      </c>
      <c r="S6" s="95">
        <f>M6</f>
        <v>2000</v>
      </c>
      <c r="T6" s="95">
        <v>0</v>
      </c>
      <c r="U6" s="95">
        <v>0</v>
      </c>
      <c r="V6" s="95">
        <v>0</v>
      </c>
      <c r="W6" s="713"/>
      <c r="Y6" s="222">
        <f>18372+T11+T12+T18</f>
        <v>23096.358974358973</v>
      </c>
      <c r="Z6" s="95">
        <f>H6*L6</f>
        <v>1900</v>
      </c>
      <c r="AA6" s="95">
        <f>Z6</f>
        <v>1900</v>
      </c>
      <c r="AB6" s="95">
        <v>0</v>
      </c>
      <c r="AC6" s="95">
        <v>0</v>
      </c>
      <c r="AD6" s="95">
        <v>0</v>
      </c>
      <c r="AE6" s="222"/>
      <c r="AF6" s="95">
        <f>I6*L6</f>
        <v>1750</v>
      </c>
      <c r="AG6" s="95">
        <f>AF6</f>
        <v>1750</v>
      </c>
      <c r="AH6" s="95">
        <v>0</v>
      </c>
      <c r="AI6" s="95">
        <f>AC6</f>
        <v>0</v>
      </c>
      <c r="AJ6" s="95">
        <f>AD6</f>
        <v>0</v>
      </c>
    </row>
    <row r="7" spans="1:38" ht="30.6" customHeight="1" thickBot="1" x14ac:dyDescent="0.3">
      <c r="A7" s="719"/>
      <c r="B7" s="722"/>
      <c r="C7" s="725"/>
      <c r="D7" s="728"/>
      <c r="E7" s="367"/>
      <c r="F7" s="364" t="s">
        <v>138</v>
      </c>
      <c r="G7" s="364">
        <v>850</v>
      </c>
      <c r="H7" s="364">
        <v>900</v>
      </c>
      <c r="I7" s="364">
        <v>1000</v>
      </c>
      <c r="J7" s="365">
        <v>35000</v>
      </c>
      <c r="K7" s="219">
        <v>1</v>
      </c>
      <c r="L7" s="366">
        <v>2.5</v>
      </c>
      <c r="M7" s="219">
        <f>L7*G7</f>
        <v>2125</v>
      </c>
      <c r="N7" s="365">
        <f>O7+P7+Q7</f>
        <v>96250000</v>
      </c>
      <c r="O7" s="365">
        <f>J7*G7</f>
        <v>29750000</v>
      </c>
      <c r="P7" s="365">
        <f>J7*H7</f>
        <v>31500000</v>
      </c>
      <c r="Q7" s="365">
        <f>J7*I7</f>
        <v>35000000</v>
      </c>
      <c r="R7" s="247">
        <f>M7-SUM(S7:V7)</f>
        <v>0</v>
      </c>
      <c r="S7" s="95">
        <f>M7*0.7</f>
        <v>1487.5</v>
      </c>
      <c r="T7" s="95">
        <f>M7*0.25</f>
        <v>531.25</v>
      </c>
      <c r="U7" s="95">
        <f>M7*0.035</f>
        <v>74.375</v>
      </c>
      <c r="V7" s="95">
        <f>M7*0.015</f>
        <v>31.875</v>
      </c>
      <c r="W7" s="713"/>
      <c r="Y7" s="248"/>
      <c r="Z7" s="95">
        <f>H7*L7</f>
        <v>2250</v>
      </c>
      <c r="AA7" s="95">
        <f>(S7/2125)*Z7</f>
        <v>1575</v>
      </c>
      <c r="AB7" s="95">
        <f>(T7/2125)*Z7</f>
        <v>562.5</v>
      </c>
      <c r="AC7" s="95">
        <f>(U7/2125)*Z7</f>
        <v>78.750000000000014</v>
      </c>
      <c r="AD7" s="95">
        <f>(V7/2125)*Z7</f>
        <v>33.75</v>
      </c>
      <c r="AE7" s="222"/>
      <c r="AF7" s="95">
        <f>I7*L7</f>
        <v>2500</v>
      </c>
      <c r="AG7" s="95">
        <f>(S7/2125)*AF7</f>
        <v>1750</v>
      </c>
      <c r="AH7" s="95">
        <f>(T7/2125)*AF7</f>
        <v>625</v>
      </c>
      <c r="AI7" s="95">
        <f>(U7/2125)*AF7</f>
        <v>87.500000000000014</v>
      </c>
      <c r="AJ7" s="95">
        <f>(V7/2125)*AF7</f>
        <v>37.5</v>
      </c>
    </row>
    <row r="8" spans="1:38" ht="51" customHeight="1" thickBot="1" x14ac:dyDescent="0.3">
      <c r="A8" s="719"/>
      <c r="B8" s="722"/>
      <c r="C8" s="725"/>
      <c r="D8" s="728"/>
      <c r="E8" s="367"/>
      <c r="F8" s="364" t="s">
        <v>139</v>
      </c>
      <c r="G8" s="364">
        <v>150</v>
      </c>
      <c r="H8" s="364">
        <v>150</v>
      </c>
      <c r="I8" s="364">
        <v>200</v>
      </c>
      <c r="J8" s="365">
        <v>60000</v>
      </c>
      <c r="K8" s="219">
        <v>2</v>
      </c>
      <c r="L8" s="219">
        <v>3</v>
      </c>
      <c r="M8" s="219">
        <f>L8*G8</f>
        <v>450</v>
      </c>
      <c r="N8" s="365">
        <f>O8+P8+Q8</f>
        <v>30000000</v>
      </c>
      <c r="O8" s="365">
        <f>J8*G8</f>
        <v>9000000</v>
      </c>
      <c r="P8" s="365">
        <f>J8*H8</f>
        <v>9000000</v>
      </c>
      <c r="Q8" s="365">
        <f>J8*I8</f>
        <v>12000000</v>
      </c>
      <c r="R8" s="247">
        <f>M8-SUM(S8:V8)</f>
        <v>0</v>
      </c>
      <c r="S8" s="95">
        <f>M8*0.7</f>
        <v>315</v>
      </c>
      <c r="T8" s="95">
        <f>M8*0.25</f>
        <v>112.5</v>
      </c>
      <c r="U8" s="95">
        <f>M8*0.035</f>
        <v>15.750000000000002</v>
      </c>
      <c r="V8" s="95">
        <f>M8*0.015</f>
        <v>6.75</v>
      </c>
      <c r="W8" s="713"/>
      <c r="Y8" s="248">
        <f>100-79.5620438</f>
        <v>20.437956200000002</v>
      </c>
      <c r="Z8" s="95">
        <f>H8*L8</f>
        <v>450</v>
      </c>
      <c r="AA8" s="95">
        <f>(S8/450)*Z8</f>
        <v>315</v>
      </c>
      <c r="AB8" s="95">
        <f>(T8/450)*Z8</f>
        <v>112.5</v>
      </c>
      <c r="AC8" s="95">
        <f>(U8/450)*Z8</f>
        <v>15.750000000000002</v>
      </c>
      <c r="AD8" s="95">
        <f>(V8/450)*Z8</f>
        <v>6.75</v>
      </c>
      <c r="AE8" s="222"/>
      <c r="AF8" s="95">
        <f>I8*L8</f>
        <v>600</v>
      </c>
      <c r="AG8" s="95">
        <f>(S8/450)*AF8</f>
        <v>420</v>
      </c>
      <c r="AH8" s="95">
        <f>(T8/450)*AF8</f>
        <v>150</v>
      </c>
      <c r="AI8" s="95">
        <f>(U8/450)*AF8</f>
        <v>21.000000000000004</v>
      </c>
      <c r="AJ8" s="95">
        <f>(V8/450)*AF8</f>
        <v>9</v>
      </c>
    </row>
    <row r="9" spans="1:38" ht="81" customHeight="1" thickBot="1" x14ac:dyDescent="0.3">
      <c r="A9" s="720"/>
      <c r="B9" s="723"/>
      <c r="C9" s="726"/>
      <c r="D9" s="729"/>
      <c r="E9" s="368"/>
      <c r="F9" s="364" t="s">
        <v>140</v>
      </c>
      <c r="G9" s="364">
        <v>90</v>
      </c>
      <c r="H9" s="364">
        <v>80</v>
      </c>
      <c r="I9" s="364">
        <v>70</v>
      </c>
      <c r="J9" s="365">
        <v>50000</v>
      </c>
      <c r="K9" s="219">
        <v>2</v>
      </c>
      <c r="L9" s="219">
        <v>4</v>
      </c>
      <c r="M9" s="219">
        <f>L9*G9</f>
        <v>360</v>
      </c>
      <c r="N9" s="365">
        <f>O9+P9+Q9</f>
        <v>12000000</v>
      </c>
      <c r="O9" s="365">
        <f>J9*G9</f>
        <v>4500000</v>
      </c>
      <c r="P9" s="365">
        <f>J9*H9</f>
        <v>4000000</v>
      </c>
      <c r="Q9" s="365">
        <f>J9*I9</f>
        <v>3500000</v>
      </c>
      <c r="R9" s="247">
        <f>M9-SUM(S9:V9)</f>
        <v>0</v>
      </c>
      <c r="S9" s="95">
        <f>M9/2+3</f>
        <v>183</v>
      </c>
      <c r="T9" s="95">
        <f>M9*0.45+2</f>
        <v>164</v>
      </c>
      <c r="U9" s="95">
        <f>10+1</f>
        <v>11</v>
      </c>
      <c r="V9" s="95">
        <v>2</v>
      </c>
      <c r="W9" s="714"/>
      <c r="Y9" s="248"/>
      <c r="Z9" s="95">
        <f>H9*L9</f>
        <v>320</v>
      </c>
      <c r="AA9" s="95">
        <f>(S9/360)*Z9</f>
        <v>162.66666666666666</v>
      </c>
      <c r="AB9" s="95">
        <f>(T9/360)*Z9</f>
        <v>145.77777777777777</v>
      </c>
      <c r="AC9" s="95">
        <f>(U9/360)*Z9</f>
        <v>9.7777777777777768</v>
      </c>
      <c r="AD9" s="95">
        <f>(V9/360)*Z9</f>
        <v>1.7777777777777779</v>
      </c>
      <c r="AE9" s="222"/>
      <c r="AF9" s="95">
        <f>I9*L9</f>
        <v>280</v>
      </c>
      <c r="AG9" s="95">
        <f>(S9/360)*AF9</f>
        <v>142.33333333333331</v>
      </c>
      <c r="AH9" s="95">
        <f>(T9/360)*AF9</f>
        <v>127.55555555555556</v>
      </c>
      <c r="AI9" s="95">
        <f>(U9/360)*AF9</f>
        <v>8.5555555555555554</v>
      </c>
      <c r="AJ9" s="95">
        <f>(V9/360)*AF9</f>
        <v>1.5555555555555556</v>
      </c>
    </row>
    <row r="10" spans="1:38" ht="122.25" customHeight="1" thickBot="1" x14ac:dyDescent="0.3">
      <c r="A10" s="369"/>
      <c r="B10" s="370" t="s">
        <v>141</v>
      </c>
      <c r="C10" s="371"/>
      <c r="D10" s="371"/>
      <c r="E10" s="372"/>
      <c r="F10" s="372"/>
      <c r="G10" s="372"/>
      <c r="H10" s="372"/>
      <c r="I10" s="372"/>
      <c r="J10" s="373"/>
      <c r="K10" s="374"/>
      <c r="L10" s="375" t="s">
        <v>142</v>
      </c>
      <c r="M10" s="219"/>
      <c r="N10" s="376"/>
      <c r="O10" s="373" t="s">
        <v>275</v>
      </c>
      <c r="P10" s="376" t="s">
        <v>276</v>
      </c>
      <c r="Q10" s="373" t="s">
        <v>282</v>
      </c>
      <c r="R10" s="293" t="s">
        <v>230</v>
      </c>
      <c r="S10" s="294">
        <f>SUM(S6:S9)</f>
        <v>3985.5</v>
      </c>
      <c r="T10" s="294">
        <f t="shared" ref="T10:V10" si="0">SUM(T6:T9)</f>
        <v>807.75</v>
      </c>
      <c r="U10" s="294">
        <f t="shared" si="0"/>
        <v>101.125</v>
      </c>
      <c r="V10" s="294">
        <f t="shared" si="0"/>
        <v>40.625</v>
      </c>
      <c r="W10" s="514">
        <f>S10+T10+U10+V10</f>
        <v>4935</v>
      </c>
      <c r="Y10" s="248"/>
      <c r="Z10" s="244">
        <f>SUM(Z6:Z9)</f>
        <v>4920</v>
      </c>
      <c r="AA10" s="294">
        <f>SUM(AA6:AA9)</f>
        <v>3952.6666666666665</v>
      </c>
      <c r="AB10" s="294">
        <f t="shared" ref="AB10:AD10" si="1">SUM(AB6:AB9)</f>
        <v>820.77777777777783</v>
      </c>
      <c r="AC10" s="294">
        <f t="shared" si="1"/>
        <v>104.27777777777779</v>
      </c>
      <c r="AD10" s="294">
        <f t="shared" si="1"/>
        <v>42.277777777777779</v>
      </c>
      <c r="AE10" s="222"/>
      <c r="AF10" s="244">
        <f>SUM(AF6:AF9)</f>
        <v>5130</v>
      </c>
      <c r="AG10" s="244">
        <f t="shared" ref="AG10:AJ10" si="2">SUM(AG6:AG9)</f>
        <v>4062.3333333333335</v>
      </c>
      <c r="AH10" s="244">
        <f t="shared" si="2"/>
        <v>902.55555555555554</v>
      </c>
      <c r="AI10" s="244">
        <f t="shared" si="2"/>
        <v>117.05555555555557</v>
      </c>
      <c r="AJ10" s="244">
        <f t="shared" si="2"/>
        <v>48.055555555555557</v>
      </c>
    </row>
    <row r="11" spans="1:38" ht="47.45" customHeight="1" thickBot="1" x14ac:dyDescent="0.3">
      <c r="A11" s="716">
        <v>1.2</v>
      </c>
      <c r="B11" s="730" t="s">
        <v>143</v>
      </c>
      <c r="C11" s="732"/>
      <c r="D11" s="734" t="s">
        <v>144</v>
      </c>
      <c r="E11" s="710" t="s">
        <v>247</v>
      </c>
      <c r="F11" s="364" t="s">
        <v>145</v>
      </c>
      <c r="G11" s="364">
        <v>20</v>
      </c>
      <c r="H11" s="364">
        <v>16</v>
      </c>
      <c r="I11" s="364">
        <v>11</v>
      </c>
      <c r="J11" s="378">
        <v>2000000</v>
      </c>
      <c r="K11" s="219">
        <v>3</v>
      </c>
      <c r="L11" s="219">
        <f>N11/13000</f>
        <v>3076.9230769230771</v>
      </c>
      <c r="M11" s="219">
        <f>L11/3</f>
        <v>1025.6410256410256</v>
      </c>
      <c r="N11" s="379">
        <f>J11*G11</f>
        <v>40000000</v>
      </c>
      <c r="O11" s="379">
        <f>N11*0.42</f>
        <v>16800000</v>
      </c>
      <c r="P11" s="379">
        <f>N11*0.355</f>
        <v>14200000</v>
      </c>
      <c r="Q11" s="379">
        <f>N11*0.225</f>
        <v>9000000</v>
      </c>
      <c r="R11" s="303" t="s">
        <v>259</v>
      </c>
      <c r="S11" s="297">
        <f>M11/2</f>
        <v>512.82051282051282</v>
      </c>
      <c r="T11" s="297">
        <f>M11*0.45</f>
        <v>461.53846153846155</v>
      </c>
      <c r="U11" s="297">
        <f>M11*0.035</f>
        <v>35.897435897435898</v>
      </c>
      <c r="V11" s="520">
        <f>M11*0.015</f>
        <v>15.384615384615383</v>
      </c>
      <c r="W11" s="522">
        <f>(W12+AE12+AK12)/3</f>
        <v>3077</v>
      </c>
      <c r="Y11" s="287"/>
      <c r="AA11" s="327">
        <v>512.82051282051282</v>
      </c>
      <c r="AB11" s="327">
        <v>461.53846153846155</v>
      </c>
      <c r="AC11" s="327">
        <v>35.897435897435898</v>
      </c>
      <c r="AD11" s="327">
        <v>15.384615384615383</v>
      </c>
      <c r="AF11" s="94"/>
      <c r="AG11" s="245">
        <v>512.82051282051282</v>
      </c>
      <c r="AH11" s="245">
        <v>461.53846153846155</v>
      </c>
      <c r="AI11" s="245">
        <v>35.897435897435898</v>
      </c>
      <c r="AJ11" s="245">
        <v>15.384615384615383</v>
      </c>
    </row>
    <row r="12" spans="1:38" ht="47.45" customHeight="1" thickBot="1" x14ac:dyDescent="0.3">
      <c r="A12" s="717"/>
      <c r="B12" s="731"/>
      <c r="C12" s="733"/>
      <c r="D12" s="735"/>
      <c r="E12" s="711"/>
      <c r="F12" s="364" t="s">
        <v>146</v>
      </c>
      <c r="G12" s="364">
        <v>5</v>
      </c>
      <c r="H12" s="364">
        <v>4</v>
      </c>
      <c r="I12" s="364">
        <v>3</v>
      </c>
      <c r="J12" s="378">
        <v>16000000</v>
      </c>
      <c r="K12" s="219">
        <v>3</v>
      </c>
      <c r="L12" s="219">
        <f>N12/13000</f>
        <v>6153.8461538461543</v>
      </c>
      <c r="M12" s="219">
        <f>L12/3</f>
        <v>2051.2820512820513</v>
      </c>
      <c r="N12" s="379">
        <f>J12*G12</f>
        <v>80000000</v>
      </c>
      <c r="O12" s="379">
        <f>N12*0.42</f>
        <v>33600000</v>
      </c>
      <c r="P12" s="379">
        <f>N12*0.355</f>
        <v>28400000</v>
      </c>
      <c r="Q12" s="379">
        <f>N12*0.225</f>
        <v>18000000</v>
      </c>
      <c r="R12" s="303" t="s">
        <v>256</v>
      </c>
      <c r="S12" s="298">
        <f>M12*0.7</f>
        <v>1435.8974358974358</v>
      </c>
      <c r="T12" s="298">
        <f>M12*0.25</f>
        <v>512.82051282051282</v>
      </c>
      <c r="U12" s="298">
        <f>M12*0.035</f>
        <v>71.794871794871796</v>
      </c>
      <c r="V12" s="521">
        <f>M12*0.015</f>
        <v>30.769230769230766</v>
      </c>
      <c r="W12" s="522">
        <f>3077</f>
        <v>3077</v>
      </c>
      <c r="Y12" s="153"/>
      <c r="AA12" s="327">
        <v>1435.8974358974358</v>
      </c>
      <c r="AB12" s="327">
        <v>512.82051282051282</v>
      </c>
      <c r="AC12" s="327">
        <v>71.794871794871796</v>
      </c>
      <c r="AD12" s="327">
        <v>30.769230769230766</v>
      </c>
      <c r="AE12" s="303">
        <f>3077</f>
        <v>3077</v>
      </c>
      <c r="AF12" s="304" t="s">
        <v>257</v>
      </c>
      <c r="AG12" s="245">
        <v>1435.8974358974358</v>
      </c>
      <c r="AH12" s="245">
        <v>512.82051282051282</v>
      </c>
      <c r="AI12" s="245">
        <v>71.794871794871796</v>
      </c>
      <c r="AJ12" s="245">
        <v>30.769230769230766</v>
      </c>
      <c r="AK12" s="303">
        <f>3077</f>
        <v>3077</v>
      </c>
      <c r="AL12" s="143" t="s">
        <v>258</v>
      </c>
    </row>
    <row r="13" spans="1:38" ht="66.75" customHeight="1" thickBot="1" x14ac:dyDescent="0.3">
      <c r="A13" s="380"/>
      <c r="B13" s="370" t="s">
        <v>147</v>
      </c>
      <c r="C13" s="371"/>
      <c r="D13" s="371"/>
      <c r="E13" s="371"/>
      <c r="F13" s="371"/>
      <c r="G13" s="371"/>
      <c r="H13" s="371"/>
      <c r="I13" s="371"/>
      <c r="J13" s="373" t="s">
        <v>148</v>
      </c>
      <c r="K13" s="219"/>
      <c r="L13" s="219"/>
      <c r="M13" s="219">
        <f>L13*I13</f>
        <v>0</v>
      </c>
      <c r="N13" s="379"/>
      <c r="O13" s="381" t="s">
        <v>245</v>
      </c>
      <c r="P13" s="381" t="s">
        <v>244</v>
      </c>
      <c r="Q13" s="381" t="s">
        <v>248</v>
      </c>
      <c r="R13" s="295" t="s">
        <v>230</v>
      </c>
      <c r="S13" s="296" t="s">
        <v>4</v>
      </c>
      <c r="T13" s="296" t="s">
        <v>77</v>
      </c>
      <c r="U13" s="296" t="s">
        <v>27</v>
      </c>
      <c r="V13" s="296" t="s">
        <v>28</v>
      </c>
      <c r="W13" s="715" t="s">
        <v>149</v>
      </c>
      <c r="Y13" s="153"/>
      <c r="Z13" s="250" t="s">
        <v>230</v>
      </c>
      <c r="AA13" s="296" t="s">
        <v>4</v>
      </c>
      <c r="AB13" s="296" t="s">
        <v>77</v>
      </c>
      <c r="AC13" s="296" t="s">
        <v>27</v>
      </c>
      <c r="AD13" s="296" t="s">
        <v>28</v>
      </c>
      <c r="AF13" s="289" t="s">
        <v>230</v>
      </c>
      <c r="AG13" s="246" t="s">
        <v>4</v>
      </c>
      <c r="AH13" s="246" t="s">
        <v>77</v>
      </c>
      <c r="AI13" s="246" t="s">
        <v>27</v>
      </c>
      <c r="AJ13" s="249" t="s">
        <v>28</v>
      </c>
    </row>
    <row r="14" spans="1:38" ht="194.25" customHeight="1" thickBot="1" x14ac:dyDescent="0.3">
      <c r="A14" s="380">
        <v>1.3</v>
      </c>
      <c r="B14" s="340" t="s">
        <v>358</v>
      </c>
      <c r="C14" s="377"/>
      <c r="D14" s="382" t="s">
        <v>201</v>
      </c>
      <c r="E14" s="364" t="s">
        <v>228</v>
      </c>
      <c r="F14" s="383" t="s">
        <v>359</v>
      </c>
      <c r="G14" s="364">
        <v>251</v>
      </c>
      <c r="H14" s="364">
        <v>251</v>
      </c>
      <c r="I14" s="364">
        <v>251</v>
      </c>
      <c r="J14" s="365">
        <f>(50*10*9*20*100)/40</f>
        <v>225000</v>
      </c>
      <c r="K14" s="366">
        <v>1.5</v>
      </c>
      <c r="L14" s="219">
        <f>150*251</f>
        <v>37650</v>
      </c>
      <c r="M14" s="219">
        <f>50*10*9*251</f>
        <v>1129500</v>
      </c>
      <c r="N14" s="379">
        <f>Q14+P14+O14</f>
        <v>169425000</v>
      </c>
      <c r="O14" s="379">
        <f>J14*G14</f>
        <v>56475000</v>
      </c>
      <c r="P14" s="379">
        <f>J14*H14</f>
        <v>56475000</v>
      </c>
      <c r="Q14" s="379">
        <f>J14*I14</f>
        <v>56475000</v>
      </c>
      <c r="R14" s="251">
        <f>S14+T14+U14+V14</f>
        <v>37651</v>
      </c>
      <c r="S14" s="252">
        <f>18825</f>
        <v>18825</v>
      </c>
      <c r="T14" s="252">
        <f>16943</f>
        <v>16943</v>
      </c>
      <c r="U14" s="252">
        <f>1318</f>
        <v>1318</v>
      </c>
      <c r="V14" s="252">
        <f>565</f>
        <v>565</v>
      </c>
      <c r="W14" s="715"/>
      <c r="Y14" s="153"/>
      <c r="Z14" s="251">
        <v>37651</v>
      </c>
      <c r="AA14" s="252">
        <v>18825</v>
      </c>
      <c r="AB14" s="252">
        <v>16943</v>
      </c>
      <c r="AC14" s="252">
        <v>1318</v>
      </c>
      <c r="AD14" s="252">
        <v>565</v>
      </c>
      <c r="AF14" s="251">
        <f>AG14+AH14+AI14+AJ14</f>
        <v>37651</v>
      </c>
      <c r="AG14" s="252">
        <f>18825</f>
        <v>18825</v>
      </c>
      <c r="AH14" s="252">
        <f>16943</f>
        <v>16943</v>
      </c>
      <c r="AI14" s="252">
        <f>1318</f>
        <v>1318</v>
      </c>
      <c r="AJ14" s="252">
        <f>565</f>
        <v>565</v>
      </c>
    </row>
    <row r="15" spans="1:38" ht="39" customHeight="1" thickBot="1" x14ac:dyDescent="0.3">
      <c r="A15" s="380"/>
      <c r="B15" s="370" t="s">
        <v>150</v>
      </c>
      <c r="C15" s="371"/>
      <c r="D15" s="371"/>
      <c r="E15" s="371"/>
      <c r="F15" s="371"/>
      <c r="G15" s="371"/>
      <c r="H15" s="371"/>
      <c r="I15" s="371"/>
      <c r="J15" s="373" t="s">
        <v>151</v>
      </c>
      <c r="K15" s="219"/>
      <c r="L15" s="219" t="s">
        <v>152</v>
      </c>
      <c r="M15" s="219" t="s">
        <v>153</v>
      </c>
      <c r="N15" s="379"/>
      <c r="O15" s="384" t="s">
        <v>249</v>
      </c>
      <c r="P15" s="384" t="s">
        <v>277</v>
      </c>
      <c r="Q15" s="384" t="s">
        <v>278</v>
      </c>
      <c r="R15" s="222"/>
      <c r="S15" s="222"/>
      <c r="T15" s="222"/>
      <c r="U15" s="222"/>
      <c r="V15" s="222"/>
      <c r="W15" s="715"/>
    </row>
    <row r="16" spans="1:38" s="137" customFormat="1" ht="105.75" customHeight="1" thickBot="1" x14ac:dyDescent="0.3">
      <c r="A16" s="385">
        <v>2</v>
      </c>
      <c r="B16" s="386" t="s">
        <v>330</v>
      </c>
      <c r="C16" s="387"/>
      <c r="D16" s="386" t="s">
        <v>213</v>
      </c>
      <c r="E16" s="387" t="s">
        <v>214</v>
      </c>
      <c r="F16" s="388"/>
      <c r="G16" s="389"/>
      <c r="H16" s="389"/>
      <c r="I16" s="389"/>
      <c r="J16" s="390"/>
      <c r="K16" s="391"/>
      <c r="L16" s="392"/>
      <c r="M16" s="393"/>
      <c r="N16" s="393"/>
      <c r="O16" s="394">
        <f>O18</f>
        <v>26250000</v>
      </c>
      <c r="P16" s="394">
        <f>P18</f>
        <v>26250000</v>
      </c>
      <c r="Q16" s="394">
        <f>Q18</f>
        <v>26250000</v>
      </c>
      <c r="R16" s="515"/>
      <c r="S16" s="515"/>
      <c r="T16" s="515"/>
      <c r="U16" s="515"/>
      <c r="V16" s="516"/>
      <c r="W16" s="715"/>
    </row>
    <row r="17" spans="1:44" s="143" customFormat="1" ht="39" customHeight="1" thickBot="1" x14ac:dyDescent="0.3">
      <c r="A17" s="362"/>
      <c r="B17" s="138" t="s">
        <v>125</v>
      </c>
      <c r="C17" s="139" t="s">
        <v>126</v>
      </c>
      <c r="D17" s="140" t="s">
        <v>127</v>
      </c>
      <c r="E17" s="140" t="s">
        <v>128</v>
      </c>
      <c r="F17" s="140" t="s">
        <v>9</v>
      </c>
      <c r="G17" s="140"/>
      <c r="H17" s="140"/>
      <c r="I17" s="140" t="s">
        <v>129</v>
      </c>
      <c r="J17" s="140" t="s">
        <v>130</v>
      </c>
      <c r="K17" s="141" t="s">
        <v>131</v>
      </c>
      <c r="L17" s="141" t="s">
        <v>132</v>
      </c>
      <c r="M17" s="142" t="s">
        <v>133</v>
      </c>
      <c r="N17" s="140" t="s">
        <v>134</v>
      </c>
      <c r="O17" s="140">
        <v>2020</v>
      </c>
      <c r="P17" s="140">
        <v>2019</v>
      </c>
      <c r="Q17" s="140">
        <v>2018</v>
      </c>
      <c r="R17" s="254" t="s">
        <v>230</v>
      </c>
      <c r="S17" s="246" t="s">
        <v>4</v>
      </c>
      <c r="T17" s="246" t="s">
        <v>77</v>
      </c>
      <c r="U17" s="246" t="s">
        <v>27</v>
      </c>
      <c r="V17" s="246" t="s">
        <v>28</v>
      </c>
      <c r="W17" s="715"/>
      <c r="Z17" s="254" t="s">
        <v>230</v>
      </c>
      <c r="AA17" s="246" t="s">
        <v>4</v>
      </c>
      <c r="AB17" s="246" t="s">
        <v>77</v>
      </c>
      <c r="AC17" s="246" t="s">
        <v>27</v>
      </c>
      <c r="AD17" s="246" t="s">
        <v>28</v>
      </c>
      <c r="AF17" s="254" t="s">
        <v>230</v>
      </c>
      <c r="AG17" s="246" t="s">
        <v>4</v>
      </c>
      <c r="AH17" s="246" t="s">
        <v>77</v>
      </c>
      <c r="AI17" s="246" t="s">
        <v>27</v>
      </c>
      <c r="AJ17" s="246" t="s">
        <v>28</v>
      </c>
    </row>
    <row r="18" spans="1:44" s="217" customFormat="1" ht="75" customHeight="1" thickBot="1" x14ac:dyDescent="0.3">
      <c r="A18" s="395">
        <v>2.1</v>
      </c>
      <c r="B18" s="396" t="s">
        <v>360</v>
      </c>
      <c r="C18" s="215"/>
      <c r="D18" s="216" t="s">
        <v>270</v>
      </c>
      <c r="E18" s="216"/>
      <c r="F18" s="397">
        <v>1750</v>
      </c>
      <c r="G18" s="398">
        <f>15000</f>
        <v>15000</v>
      </c>
      <c r="H18" s="398">
        <v>15000</v>
      </c>
      <c r="I18" s="398">
        <v>15000</v>
      </c>
      <c r="J18" s="399">
        <v>1</v>
      </c>
      <c r="K18" s="400">
        <v>0.2</v>
      </c>
      <c r="L18" s="219">
        <f>K18*G18</f>
        <v>3000</v>
      </c>
      <c r="M18" s="379">
        <f>I18*F18</f>
        <v>26250000</v>
      </c>
      <c r="N18" s="379">
        <f>O18+P18+Q18</f>
        <v>78750000</v>
      </c>
      <c r="O18" s="379">
        <f>F18*G18</f>
        <v>26250000</v>
      </c>
      <c r="P18" s="379">
        <f>F18*H18</f>
        <v>26250000</v>
      </c>
      <c r="Q18" s="401">
        <f>F18*I18</f>
        <v>26250000</v>
      </c>
      <c r="R18" s="315">
        <f>S18+T18+U18+V18</f>
        <v>15000</v>
      </c>
      <c r="S18" s="245">
        <f>14000*0.75</f>
        <v>10500</v>
      </c>
      <c r="T18" s="245">
        <f>5000*0.75</f>
        <v>3750</v>
      </c>
      <c r="U18" s="245">
        <f>700*0.75</f>
        <v>525</v>
      </c>
      <c r="V18" s="245">
        <f>300*0.75</f>
        <v>225</v>
      </c>
      <c r="W18" s="715"/>
      <c r="Z18" s="315">
        <f>AA18+AB18+AC18+AD18</f>
        <v>15000</v>
      </c>
      <c r="AA18" s="245">
        <f>14000*0.75</f>
        <v>10500</v>
      </c>
      <c r="AB18" s="245">
        <f>5000*0.75</f>
        <v>3750</v>
      </c>
      <c r="AC18" s="245">
        <f>700*0.75</f>
        <v>525</v>
      </c>
      <c r="AD18" s="245">
        <f>300*0.75</f>
        <v>225</v>
      </c>
      <c r="AF18" s="315">
        <f>AG18+AH18+AI18+AJ18</f>
        <v>15000</v>
      </c>
      <c r="AG18" s="245">
        <f>14000*0.75</f>
        <v>10500</v>
      </c>
      <c r="AH18" s="245">
        <f>5000*0.75</f>
        <v>3750</v>
      </c>
      <c r="AI18" s="245">
        <f>700*0.75</f>
        <v>525</v>
      </c>
      <c r="AJ18" s="245">
        <f>300*0.75</f>
        <v>225</v>
      </c>
    </row>
    <row r="19" spans="1:44" s="217" customFormat="1" ht="85.5" customHeight="1" thickBot="1" x14ac:dyDescent="0.3">
      <c r="A19" s="395">
        <v>2.2000000000000002</v>
      </c>
      <c r="B19" s="340" t="s">
        <v>311</v>
      </c>
      <c r="C19" s="341"/>
      <c r="D19" s="310" t="s">
        <v>312</v>
      </c>
      <c r="E19" s="216"/>
      <c r="F19" s="218"/>
      <c r="G19" s="216"/>
      <c r="H19" s="216"/>
      <c r="I19" s="216"/>
      <c r="J19" s="216"/>
      <c r="K19" s="219"/>
      <c r="L19" s="219"/>
      <c r="M19" s="220"/>
      <c r="N19" s="216"/>
      <c r="O19" s="216"/>
      <c r="P19" s="216"/>
      <c r="Q19" s="216"/>
      <c r="R19" s="311"/>
      <c r="S19" s="311"/>
      <c r="T19" s="311"/>
      <c r="U19" s="311"/>
      <c r="V19" s="311"/>
      <c r="W19" s="715"/>
      <c r="X19" s="312"/>
      <c r="Y19" s="312"/>
      <c r="Z19" s="312"/>
      <c r="AA19" s="312"/>
      <c r="AB19" s="312"/>
      <c r="AC19" s="312"/>
      <c r="AD19" s="312"/>
      <c r="AE19" s="312"/>
      <c r="AF19" s="312"/>
      <c r="AG19" s="312"/>
      <c r="AH19" s="312"/>
      <c r="AI19" s="312"/>
      <c r="AJ19" s="312"/>
      <c r="AK19" s="312"/>
      <c r="AL19" s="312"/>
      <c r="AM19" s="312"/>
      <c r="AN19" s="312"/>
      <c r="AO19" s="312"/>
      <c r="AP19" s="312"/>
      <c r="AQ19" s="312"/>
      <c r="AR19" s="312"/>
    </row>
    <row r="20" spans="1:44" s="217" customFormat="1" ht="85.5" customHeight="1" thickBot="1" x14ac:dyDescent="0.3">
      <c r="A20" s="402"/>
      <c r="B20" s="216" t="s">
        <v>215</v>
      </c>
      <c r="C20" s="216" t="s">
        <v>215</v>
      </c>
      <c r="D20" s="216"/>
      <c r="E20" s="216"/>
      <c r="F20" s="216"/>
      <c r="G20" s="216"/>
      <c r="H20" s="216"/>
      <c r="I20" s="216"/>
      <c r="J20" s="216"/>
      <c r="K20" s="219"/>
      <c r="L20" s="219"/>
      <c r="M20" s="220"/>
      <c r="N20" s="216"/>
      <c r="O20" s="216"/>
      <c r="P20" s="216"/>
      <c r="Q20" s="216"/>
      <c r="R20" s="311"/>
      <c r="S20" s="311"/>
      <c r="T20" s="311"/>
      <c r="U20" s="311"/>
      <c r="V20" s="311"/>
      <c r="W20" s="517"/>
      <c r="X20" s="312"/>
      <c r="Y20" s="312"/>
      <c r="Z20" s="312"/>
      <c r="AA20" s="312"/>
      <c r="AB20" s="312"/>
      <c r="AC20" s="312"/>
      <c r="AD20" s="312"/>
      <c r="AE20" s="312"/>
      <c r="AF20" s="312"/>
      <c r="AG20" s="312"/>
      <c r="AH20" s="312"/>
      <c r="AI20" s="312"/>
      <c r="AJ20" s="312"/>
      <c r="AK20" s="312"/>
      <c r="AL20" s="312"/>
      <c r="AM20" s="312"/>
      <c r="AN20" s="312"/>
      <c r="AO20" s="312"/>
      <c r="AP20" s="312"/>
      <c r="AQ20" s="312"/>
      <c r="AR20" s="312"/>
    </row>
    <row r="21" spans="1:44" s="144" customFormat="1" ht="104.25" customHeight="1" thickBot="1" x14ac:dyDescent="0.3">
      <c r="A21" s="403">
        <v>3</v>
      </c>
      <c r="B21" s="404" t="s">
        <v>347</v>
      </c>
      <c r="C21" s="405"/>
      <c r="D21" s="406" t="s">
        <v>216</v>
      </c>
      <c r="E21" s="407"/>
      <c r="F21" s="407"/>
      <c r="G21" s="407"/>
      <c r="H21" s="407"/>
      <c r="I21" s="407"/>
      <c r="J21" s="408"/>
      <c r="K21" s="409"/>
      <c r="L21" s="410"/>
      <c r="M21" s="411">
        <f>M23+M24</f>
        <v>0</v>
      </c>
      <c r="N21" s="411">
        <f>N23+N24</f>
        <v>34500000</v>
      </c>
      <c r="O21" s="412">
        <f>O23+O24</f>
        <v>11500000</v>
      </c>
      <c r="P21" s="412">
        <f>P23+P24</f>
        <v>11500000</v>
      </c>
      <c r="Q21" s="412">
        <f>Q23+Q24</f>
        <v>11500000</v>
      </c>
      <c r="R21" s="313"/>
      <c r="S21" s="313"/>
      <c r="T21" s="313"/>
      <c r="U21" s="313"/>
      <c r="V21" s="313"/>
      <c r="W21" s="517"/>
      <c r="X21" s="312"/>
      <c r="Y21" s="312"/>
      <c r="Z21" s="312"/>
      <c r="AA21" s="312"/>
      <c r="AB21" s="312"/>
      <c r="AC21" s="312"/>
      <c r="AD21" s="312"/>
      <c r="AE21" s="312"/>
      <c r="AF21" s="312"/>
      <c r="AG21" s="312"/>
      <c r="AH21" s="312"/>
      <c r="AI21" s="312"/>
      <c r="AJ21" s="312"/>
      <c r="AK21" s="312"/>
      <c r="AL21" s="312"/>
      <c r="AM21" s="312"/>
      <c r="AN21" s="312"/>
      <c r="AO21" s="312"/>
      <c r="AP21" s="312"/>
      <c r="AQ21" s="312"/>
      <c r="AR21" s="312"/>
    </row>
    <row r="22" spans="1:44" s="143" customFormat="1" ht="39" customHeight="1" thickBot="1" x14ac:dyDescent="0.3">
      <c r="A22" s="362"/>
      <c r="B22" s="138" t="s">
        <v>125</v>
      </c>
      <c r="C22" s="139" t="s">
        <v>126</v>
      </c>
      <c r="D22" s="145" t="s">
        <v>127</v>
      </c>
      <c r="E22" s="147" t="s">
        <v>128</v>
      </c>
      <c r="F22" s="148" t="s">
        <v>9</v>
      </c>
      <c r="G22" s="148" t="s">
        <v>33</v>
      </c>
      <c r="H22" s="148" t="s">
        <v>194</v>
      </c>
      <c r="I22" s="148" t="s">
        <v>43</v>
      </c>
      <c r="J22" s="148" t="s">
        <v>130</v>
      </c>
      <c r="K22" s="149" t="s">
        <v>131</v>
      </c>
      <c r="L22" s="146" t="s">
        <v>132</v>
      </c>
      <c r="M22" s="142" t="s">
        <v>133</v>
      </c>
      <c r="N22" s="140" t="s">
        <v>134</v>
      </c>
      <c r="O22" s="145">
        <v>2018</v>
      </c>
      <c r="P22" s="140">
        <v>2019</v>
      </c>
      <c r="Q22" s="140">
        <v>2020</v>
      </c>
      <c r="R22" s="314"/>
      <c r="S22" s="314"/>
      <c r="T22" s="314"/>
      <c r="U22" s="314"/>
      <c r="V22" s="314"/>
      <c r="W22" s="517"/>
      <c r="X22" s="312"/>
      <c r="Y22" s="312"/>
      <c r="Z22" s="312"/>
      <c r="AA22" s="312"/>
      <c r="AB22" s="312"/>
      <c r="AC22" s="312"/>
      <c r="AD22" s="312"/>
      <c r="AE22" s="312"/>
      <c r="AF22" s="312"/>
      <c r="AG22" s="312"/>
      <c r="AH22" s="312"/>
      <c r="AI22" s="312"/>
      <c r="AJ22" s="312"/>
      <c r="AK22" s="312"/>
      <c r="AL22" s="312"/>
      <c r="AM22" s="312"/>
      <c r="AN22" s="312"/>
      <c r="AO22" s="312"/>
      <c r="AP22" s="312"/>
      <c r="AQ22" s="312"/>
      <c r="AR22" s="312"/>
    </row>
    <row r="23" spans="1:44" ht="228" customHeight="1" thickBot="1" x14ac:dyDescent="0.3">
      <c r="A23" s="380">
        <v>3.1</v>
      </c>
      <c r="B23" s="413" t="s">
        <v>325</v>
      </c>
      <c r="C23" s="370" t="s">
        <v>361</v>
      </c>
      <c r="D23" s="310" t="s">
        <v>362</v>
      </c>
      <c r="E23" s="414" t="s">
        <v>320</v>
      </c>
      <c r="F23" s="415"/>
      <c r="G23" s="415" t="s">
        <v>320</v>
      </c>
      <c r="H23" s="416">
        <v>7</v>
      </c>
      <c r="I23" s="416">
        <v>7</v>
      </c>
      <c r="J23" s="417"/>
      <c r="K23" s="418"/>
      <c r="L23" s="419"/>
      <c r="M23" s="379"/>
      <c r="N23" s="379">
        <f>Q23+P23+O23</f>
        <v>7500000</v>
      </c>
      <c r="O23" s="379">
        <f>'Outcome 3'!E11</f>
        <v>2500000</v>
      </c>
      <c r="P23" s="379">
        <f>'Outcome 3'!D11</f>
        <v>2500000</v>
      </c>
      <c r="Q23" s="379">
        <f>'Outcome 3'!C11</f>
        <v>2500000</v>
      </c>
      <c r="R23" s="313"/>
      <c r="S23" s="313"/>
      <c r="T23" s="313"/>
      <c r="U23" s="313"/>
      <c r="V23" s="313"/>
      <c r="W23" s="517"/>
      <c r="X23" s="312"/>
      <c r="Y23" s="312"/>
      <c r="Z23" s="312"/>
      <c r="AA23" s="312"/>
      <c r="AB23" s="312"/>
      <c r="AC23" s="312"/>
      <c r="AD23" s="312"/>
      <c r="AE23" s="312"/>
      <c r="AF23" s="312"/>
      <c r="AG23" s="312"/>
      <c r="AH23" s="312"/>
      <c r="AI23" s="312"/>
      <c r="AJ23" s="312"/>
      <c r="AK23" s="312"/>
      <c r="AL23" s="312"/>
      <c r="AM23" s="312"/>
      <c r="AN23" s="312"/>
      <c r="AO23" s="312"/>
      <c r="AP23" s="312"/>
      <c r="AQ23" s="312"/>
      <c r="AR23" s="312"/>
    </row>
    <row r="24" spans="1:44" ht="90.75" customHeight="1" thickBot="1" x14ac:dyDescent="0.3">
      <c r="A24" s="380">
        <v>3.2</v>
      </c>
      <c r="B24" s="340" t="s">
        <v>342</v>
      </c>
      <c r="C24" s="396" t="s">
        <v>115</v>
      </c>
      <c r="D24" s="383" t="s">
        <v>115</v>
      </c>
      <c r="E24" s="420">
        <v>12</v>
      </c>
      <c r="F24" s="420"/>
      <c r="G24" s="420">
        <v>12</v>
      </c>
      <c r="H24" s="420">
        <v>12</v>
      </c>
      <c r="I24" s="420">
        <v>12</v>
      </c>
      <c r="J24" s="421"/>
      <c r="K24" s="422"/>
      <c r="L24" s="423"/>
      <c r="M24" s="379"/>
      <c r="N24" s="379">
        <f>Q24+P24+O24</f>
        <v>27000000</v>
      </c>
      <c r="O24" s="379">
        <f>'Outcome 3'!E31</f>
        <v>9000000</v>
      </c>
      <c r="P24" s="379">
        <f>'Outcome 3'!D31</f>
        <v>9000000</v>
      </c>
      <c r="Q24" s="424">
        <f>'Outcome 3'!C31</f>
        <v>9000000</v>
      </c>
      <c r="R24" s="313"/>
      <c r="S24" s="313"/>
      <c r="T24" s="313"/>
      <c r="U24" s="313"/>
      <c r="V24" s="313"/>
      <c r="W24" s="517"/>
      <c r="X24" s="312"/>
      <c r="Y24" s="312"/>
      <c r="Z24" s="312"/>
      <c r="AA24" s="312"/>
      <c r="AB24" s="312"/>
      <c r="AC24" s="312"/>
      <c r="AD24" s="312"/>
      <c r="AE24" s="312"/>
      <c r="AF24" s="312"/>
      <c r="AG24" s="312"/>
      <c r="AH24" s="312"/>
      <c r="AI24" s="312"/>
      <c r="AJ24" s="312"/>
      <c r="AK24" s="312"/>
      <c r="AL24" s="312"/>
      <c r="AM24" s="312"/>
      <c r="AN24" s="312"/>
      <c r="AO24" s="312"/>
      <c r="AP24" s="312"/>
      <c r="AQ24" s="312"/>
      <c r="AR24" s="312"/>
    </row>
    <row r="25" spans="1:44" ht="177" customHeight="1" thickBot="1" x14ac:dyDescent="0.3">
      <c r="A25" s="380"/>
      <c r="B25" s="370" t="s">
        <v>363</v>
      </c>
      <c r="C25" s="371"/>
      <c r="D25" s="371"/>
      <c r="E25" s="371"/>
      <c r="F25" s="371"/>
      <c r="G25" s="425"/>
      <c r="H25" s="425"/>
      <c r="I25" s="425"/>
      <c r="J25" s="365" t="s">
        <v>323</v>
      </c>
      <c r="K25" s="423"/>
      <c r="L25" s="423"/>
      <c r="M25" s="423"/>
      <c r="N25" s="379"/>
      <c r="O25" s="379"/>
      <c r="P25" s="379"/>
      <c r="Q25" s="379"/>
      <c r="R25" s="518"/>
      <c r="S25" s="518"/>
      <c r="T25" s="518"/>
      <c r="U25" s="518"/>
      <c r="V25" s="518"/>
      <c r="W25" s="519"/>
      <c r="X25" s="312"/>
      <c r="Y25" s="312"/>
      <c r="Z25" s="312"/>
      <c r="AA25" s="312"/>
      <c r="AB25" s="312"/>
      <c r="AC25" s="312"/>
      <c r="AD25" s="312"/>
      <c r="AE25" s="312"/>
      <c r="AF25" s="312"/>
      <c r="AG25" s="312"/>
      <c r="AH25" s="312"/>
      <c r="AI25" s="312"/>
      <c r="AJ25" s="312"/>
      <c r="AK25" s="312"/>
      <c r="AL25" s="312"/>
      <c r="AM25" s="312"/>
      <c r="AN25" s="312"/>
      <c r="AO25" s="312"/>
      <c r="AP25" s="312"/>
      <c r="AQ25" s="312"/>
      <c r="AR25" s="312"/>
    </row>
  </sheetData>
  <mergeCells count="11">
    <mergeCell ref="E11:E12"/>
    <mergeCell ref="W1:W9"/>
    <mergeCell ref="W13:W19"/>
    <mergeCell ref="A11:A12"/>
    <mergeCell ref="A6:A9"/>
    <mergeCell ref="B6:B9"/>
    <mergeCell ref="C6:C9"/>
    <mergeCell ref="D6:D9"/>
    <mergeCell ref="B11:B12"/>
    <mergeCell ref="C11:C12"/>
    <mergeCell ref="D11:D12"/>
  </mergeCells>
  <pageMargins left="0.25" right="0.25" top="0.75" bottom="0.75" header="0.3" footer="0.3"/>
  <pageSetup paperSize="9" scale="33"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Summary</vt:lpstr>
      <vt:lpstr>Outcome 1</vt:lpstr>
      <vt:lpstr>Outcome 2</vt:lpstr>
      <vt:lpstr>Outcome 3</vt:lpstr>
      <vt:lpstr>Lh Budgetting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Hiba Taha</cp:lastModifiedBy>
  <cp:lastPrinted>2017-11-15T10:32:03Z</cp:lastPrinted>
  <dcterms:created xsi:type="dcterms:W3CDTF">2014-08-29T13:09:43Z</dcterms:created>
  <dcterms:modified xsi:type="dcterms:W3CDTF">2018-06-11T11:43:05Z</dcterms:modified>
</cp:coreProperties>
</file>