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pivotTables/pivotTable5.xml" ContentType="application/vnd.openxmlformats-officedocument.spreadsheetml.pivotTable+xml"/>
  <Override PartName="/xl/drawings/drawing4.xml" ContentType="application/vnd.openxmlformats-officedocument.drawing+xml"/>
  <Override PartName="/xl/tables/table14.xml" ContentType="application/vnd.openxmlformats-officedocument.spreadsheetml.table+xml"/>
  <Override PartName="/xl/charts/chart2.xml" ContentType="application/vnd.openxmlformats-officedocument.drawingml.chart+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Override PartName="/xl/pivotTables/pivotTable14.xml" ContentType="application/vnd.openxmlformats-officedocument.spreadsheetml.pivotTable+xml"/>
  <Override PartName="/xl/drawings/drawing6.xml" ContentType="application/vnd.openxmlformats-officedocument.drawing+xml"/>
  <Override PartName="/xl/slicers/slicer1.xml" ContentType="application/vnd.ms-excel.slicer+xml"/>
  <Override PartName="/xl/pivotTables/pivotTable15.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9.xml" ContentType="application/vnd.openxmlformats-officedocument.drawing+xml"/>
  <Override PartName="/xl/tables/table15.xml" ContentType="application/vnd.openxmlformats-officedocument.spreadsheetml.tab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pivotTables/pivotTable16.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tables/table16.xml" ContentType="application/vnd.openxmlformats-officedocument.spreadsheetml.table+xml"/>
  <Override PartName="/xl/pivotTables/pivotTable17.xml" ContentType="application/vnd.openxmlformats-officedocument.spreadsheetml.pivotTable+xml"/>
  <Override PartName="/xl/tables/table17.xml" ContentType="application/vnd.openxmlformats-officedocument.spreadsheetml.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xml"/>
  <Override PartName="/xl/tables/table18.xml" ContentType="application/vnd.openxmlformats-officedocument.spreadsheetml.table+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9.xml" ContentType="application/vnd.openxmlformats-officedocument.spreadsheetml.table+xml"/>
  <Override PartName="/xl/drawings/drawing18.xml" ContentType="application/vnd.openxmlformats-officedocument.drawing+xml"/>
  <Override PartName="/xl/tables/table20.xml" ContentType="application/vnd.openxmlformats-officedocument.spreadsheetml.table+xml"/>
  <Override PartName="/xl/drawings/drawing19.xml" ContentType="application/vnd.openxmlformats-officedocument.drawing+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ocuments\"/>
    </mc:Choice>
  </mc:AlternateContent>
  <bookViews>
    <workbookView xWindow="60" yWindow="360" windowWidth="9240" windowHeight="9300" tabRatio="908" firstSheet="11" activeTab="12"/>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Age-Sex Breakdown per Camp" sheetId="74" r:id="rId7"/>
    <sheet name="Vulnerability per Camp" sheetId="75" r:id="rId8"/>
    <sheet name="Camp Analysis" sheetId="33" r:id="rId9"/>
    <sheet name="Camp List (printable) " sheetId="67" r:id="rId10"/>
    <sheet name="Camp Management-Focal Point" sheetId="78" r:id="rId11"/>
    <sheet name="Displacement Areas" sheetId="80" r:id="rId12"/>
    <sheet name="CCCM Dashboard" sheetId="40" r:id="rId13"/>
    <sheet name="Camp_Profile" sheetId="83" r:id="rId14"/>
    <sheet name="Shelter Tracking" sheetId="19" r:id="rId15"/>
    <sheet name="Camp Infrastructure" sheetId="77" r:id="rId16"/>
    <sheet name="Shelter Progress" sheetId="36" r:id="rId17"/>
    <sheet name="Shelter Summary (by agency)" sheetId="45" r:id="rId18"/>
    <sheet name="Shelter Coverage &amp; Gaps" sheetId="62" r:id="rId19"/>
    <sheet name="Map" sheetId="72" state="hidden" r:id="rId20"/>
    <sheet name="NFI Tracking" sheetId="20" r:id="rId21"/>
    <sheet name="NFI Pipeline" sheetId="30" r:id="rId22"/>
    <sheet name="analysis" sheetId="41" state="hidden" r:id="rId23"/>
    <sheet name="NFI Distribution (by Tship)" sheetId="37" r:id="rId24"/>
    <sheet name="NFI Summary" sheetId="43" r:id="rId25"/>
    <sheet name="Sheet1" sheetId="84" state="hidden" r:id="rId26"/>
  </sheets>
  <definedNames>
    <definedName name="_xlnm._FilterDatabase" localSheetId="5" hidden="1">'Camp List'!$A$4:$R$121</definedName>
    <definedName name="_xlnm._FilterDatabase" localSheetId="20" hidden="1">'NFI Tracking'!$A$5:$P$262</definedName>
    <definedName name="Accessible_by_All">Definition!$P$3:$P$4</definedName>
    <definedName name="Age_Cat_Code">Definition!$AE$2:$AE$13</definedName>
    <definedName name="Age_Category">Definition!$R$2:$R$7</definedName>
    <definedName name="AllData_Camplist" localSheetId="13">Camp_List[#All]</definedName>
    <definedName name="AllData_Camplist" localSheetId="18">Camp_List[#All]</definedName>
    <definedName name="AllData_Camplist">Camp_List[#All]</definedName>
    <definedName name="Camp_Status">"Open, Close"</definedName>
    <definedName name="Camplist_HH">'Camp List'!$Q$5:$Q$907</definedName>
    <definedName name="Camplist_Popl">'Camp List'!$R$5:$R$907</definedName>
    <definedName name="CampList_Status">'Camp List'!$A$5:$A$907</definedName>
    <definedName name="Camplist_Township">'Camp List'!$F$5:$F$907</definedName>
    <definedName name="CampList_TypeOfAcc">'Camp List'!$V$5:$V$907</definedName>
    <definedName name="CL">Definition_TCL!$G$4:$J$1000</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3">Camp_List[#All]</definedName>
    <definedName name="Kashin">Camp_List[#All]</definedName>
    <definedName name="Kyauk_Phyu">Definition!$L$3:$L$11</definedName>
    <definedName name="Location">"Camp_G,Cluster_G"</definedName>
    <definedName name="NFI">Definition!$A$2:$F$12</definedName>
    <definedName name="NFI_Blanket_Pipeline">'NFI Pipeline'!$V:$V</definedName>
    <definedName name="NFI_Blanket_Stock">'NFI Pipeline'!$U:$U</definedName>
    <definedName name="NFI_Blanket_Track">'NFI Tracking'!$Y:$Y</definedName>
    <definedName name="NFI_Complementary_Pipeline">'NFI Pipeline'!$AB:$AB</definedName>
    <definedName name="NFI_Complementary_Stock">'NFI Pipeline'!$AA:$AA</definedName>
    <definedName name="NFI_Complementary_Track">'NFI Tracking'!$AA:$AA</definedName>
    <definedName name="NFI_Core_Pipeline">'NFI Pipeline'!$J:$J</definedName>
    <definedName name="NFI_Core_Stock">'NFI Pipeline'!$I:$I</definedName>
    <definedName name="NFI_Core_Track">'NFI Tracking'!$U:$U</definedName>
    <definedName name="NFI_Expiration">'NFI Tracking'!$J$1</definedName>
    <definedName name="NFI_Hygiene_Pipeline">'NFI Pipeline'!$G:$G</definedName>
    <definedName name="NFI_Hygiene_Stock">'NFI Pipeline'!$F:$F</definedName>
    <definedName name="NFI_Hygiene_Track">'NFI Tracking'!$T:$T</definedName>
    <definedName name="NFI_JerryCan_Pipeline">'NFI Pipeline'!$AK:$AK</definedName>
    <definedName name="NFI_JerryCan_Stock">'NFI Pipeline'!$AJ:$AJ</definedName>
    <definedName name="NFI_JerryCan_Track">'NFI Tracking'!$AC:$AC</definedName>
    <definedName name="NFI_Kitchen_Pipeline">'NFI Pipeline'!$Y:$Y</definedName>
    <definedName name="NFI_Kitchen_Stock">'NFI Pipeline'!$X:$X</definedName>
    <definedName name="NFI_Kitchen_Track">'NFI Tracking'!$Z:$Z</definedName>
    <definedName name="NFI_Month">'NFI Tracking'!$A:$A</definedName>
    <definedName name="NFI_Mosquito_Pipeline">'NFI Pipeline'!$P:$P</definedName>
    <definedName name="NFI_Mosquito_Stock">'NFI Pipeline'!$O:$O</definedName>
    <definedName name="NFI_Mosquito_Track">'NFI Tracking'!$W:$W</definedName>
    <definedName name="NFI_Org">'NFI Tracking'!$D:$D</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Tracking'!$AB:$AB</definedName>
    <definedName name="NFI_Plastic_Mat_Pipeline">'NFI Pipeline'!$AH:$AH</definedName>
    <definedName name="NFI_Plastic_Mat_Stock">'NFI Pipeline'!$AG:$AG</definedName>
    <definedName name="NFI_Plastic_Mat_Track">'NFI Tracking'!$AD:$AD</definedName>
    <definedName name="NFI_Sanitary_Pipeline">'NFI Pipeline'!$M:$M</definedName>
    <definedName name="NFI_Sanitary_Stock">'NFI Pipeline'!$L:$L</definedName>
    <definedName name="NFI_Sanitary_Track">'NFI Tracking'!$V:$V</definedName>
    <definedName name="NFI_State">'NFI Tracking'!$F:$F</definedName>
    <definedName name="NFI_Tarpaulin_Pipeline">'NFI Pipeline'!$S:$S</definedName>
    <definedName name="NFI_Tarpaulin_Stock">'NFI Pipeline'!$R:$R</definedName>
    <definedName name="NFI_Tarpaulin_Track">'NFI Tracking'!$X:$X</definedName>
    <definedName name="NFI_Township">'NFI Tracking'!$G:$G</definedName>
    <definedName name="Organization_Code">Definition!$Z$2:$Z$7</definedName>
    <definedName name="_xlnm.Print_Area" localSheetId="8">'Camp Analysis'!$A$2:$J$48</definedName>
    <definedName name="_xlnm.Print_Area" localSheetId="9">'Camp List (printable) '!$A$2:$H$92</definedName>
    <definedName name="_xlnm.Print_Area" localSheetId="10">'Camp Management-Focal Point'!$B$2:$I$35</definedName>
    <definedName name="_xlnm.Print_Area" localSheetId="12">'CCCM Dashboard'!$C$4:$R$42</definedName>
    <definedName name="_xlnm.Print_Area" localSheetId="11">'Displacement Areas'!$B$3:$O$73</definedName>
    <definedName name="_xlnm.Print_Area" localSheetId="23">'NFI Distribution (by Tship)'!$A$2:$J$41</definedName>
    <definedName name="_xlnm.Print_Area" localSheetId="21">'NFI Pipeline'!$A$5:$AF$9</definedName>
    <definedName name="_xlnm.Print_Area" localSheetId="24">'NFI Summary'!$C$4:$Q$41</definedName>
    <definedName name="_xlnm.Print_Area" localSheetId="20">'NFI Tracking'!$A$5:$P$5</definedName>
    <definedName name="_xlnm.Print_Area" localSheetId="18">'Shelter Coverage &amp; Gaps'!$A$2:$O$39</definedName>
    <definedName name="_xlnm.Print_Area" localSheetId="16">'Shelter Progress'!$A$2:$R$37</definedName>
    <definedName name="_xlnm.Print_Area" localSheetId="17">'Shelter Summary (by agency)'!$A$2:$F$58</definedName>
    <definedName name="Rakhine" localSheetId="13">Definition_Rakhine[Rakhine]</definedName>
    <definedName name="Rakhine">Definition_Rakhine[Rakhine]</definedName>
    <definedName name="Report_Date">Definition!$A$19</definedName>
    <definedName name="Shelter_HH_Covered">'Shelter Tracking'!$T:$T</definedName>
    <definedName name="Slicer_TOWNSHIP_NAME1">#N/A</definedName>
    <definedName name="State">Definition!$J$2:$J$2</definedName>
    <definedName name="TCL_C">Definition_TCL!$B$4:$B$1000</definedName>
    <definedName name="TCL_T">Definition_TCL!$A$4:$A$1000</definedName>
    <definedName name="TCL_T1">Definition_TCL!$A$4</definedName>
    <definedName name="Type_of_Acc">'Camp List'!$V$5:$V$121</definedName>
    <definedName name="Type_of_Accomodation">Definition!$N$2:$N$5</definedName>
    <definedName name="Type_Population">Definition!$V$2:$V$10</definedName>
    <definedName name="Type_Vulnerability">Definition!$X$2:$X$17</definedName>
    <definedName name="Vulnerability">Definition!$T$2:$T$9</definedName>
  </definedNames>
  <calcPr calcId="152511"/>
  <pivotCaches>
    <pivotCache cacheId="0" r:id="rId27"/>
    <pivotCache cacheId="1" r:id="rId28"/>
    <pivotCache cacheId="2" r:id="rId29"/>
    <pivotCache cacheId="3" r:id="rId30"/>
    <pivotCache cacheId="4" r:id="rId31"/>
    <pivotCache cacheId="5" r:id="rId32"/>
    <pivotCache cacheId="19" r:id="rId33"/>
  </pivotCaches>
  <extLst>
    <ext xmlns:x14="http://schemas.microsoft.com/office/spreadsheetml/2009/9/main" uri="{BBE1A952-AA13-448e-AADC-164F8A28A991}">
      <x14:slicerCaches>
        <x14:slicerCache r:id="rId34"/>
      </x14:slicerCaches>
    </ext>
    <ext xmlns:x14="http://schemas.microsoft.com/office/spreadsheetml/2009/9/main" uri="{79F54976-1DA5-4618-B147-4CDE4B953A38}">
      <x14:workbookPr/>
    </ext>
  </extLst>
</workbook>
</file>

<file path=xl/calcChain.xml><?xml version="1.0" encoding="utf-8"?>
<calcChain xmlns="http://schemas.openxmlformats.org/spreadsheetml/2006/main">
  <c r="AE391" i="20" l="1"/>
  <c r="V139" i="19" l="1"/>
  <c r="T139" i="19" s="1"/>
  <c r="W139" i="19"/>
  <c r="X139" i="19"/>
  <c r="Y139" i="19"/>
  <c r="V140" i="19"/>
  <c r="T140" i="19" s="1"/>
  <c r="W140" i="19"/>
  <c r="X140" i="19"/>
  <c r="Y140" i="19"/>
  <c r="V141" i="19"/>
  <c r="T141" i="19" s="1"/>
  <c r="W141" i="19"/>
  <c r="X141" i="19"/>
  <c r="Y141" i="19"/>
  <c r="A390" i="20"/>
  <c r="AE390" i="20"/>
  <c r="AF390" i="20"/>
  <c r="A391" i="20"/>
  <c r="AF391" i="20"/>
  <c r="A392" i="20"/>
  <c r="AE392" i="20"/>
  <c r="AF392" i="20"/>
  <c r="A393" i="20"/>
  <c r="AE393" i="20"/>
  <c r="AF393" i="20"/>
  <c r="A394" i="20"/>
  <c r="AE394" i="20"/>
  <c r="AF394" i="20"/>
  <c r="A3" i="14" l="1"/>
  <c r="C5" i="35"/>
  <c r="A3" i="36" l="1"/>
  <c r="A3" i="62"/>
  <c r="A3" i="20" l="1"/>
  <c r="E23" i="43"/>
  <c r="R142" i="19"/>
  <c r="S142" i="19"/>
  <c r="A3" i="19"/>
  <c r="A3" i="67"/>
  <c r="A3" i="37" l="1"/>
  <c r="A3" i="30"/>
  <c r="A10" i="20" l="1"/>
  <c r="A7" i="20"/>
  <c r="A9" i="20"/>
  <c r="A6" i="20"/>
  <c r="A8" i="20"/>
  <c r="A389" i="20"/>
  <c r="AE10" i="20"/>
  <c r="AE7" i="20"/>
  <c r="AE9" i="20"/>
  <c r="AE6" i="20"/>
  <c r="AE8" i="20"/>
  <c r="AE389" i="20"/>
  <c r="AF10" i="20"/>
  <c r="AF7" i="20"/>
  <c r="AF9" i="20"/>
  <c r="AF6" i="20"/>
  <c r="AF8" i="20"/>
  <c r="AF389" i="20"/>
  <c r="A12" i="20" l="1"/>
  <c r="B12" i="20"/>
  <c r="AE12" i="20"/>
  <c r="AF12" i="20"/>
  <c r="AI6" i="14" l="1"/>
  <c r="AI7" i="14"/>
  <c r="AI8" i="14"/>
  <c r="AI9" i="14"/>
  <c r="AI10" i="14"/>
  <c r="AI11" i="14"/>
  <c r="AI12" i="14"/>
  <c r="AI13" i="14"/>
  <c r="AI14" i="14"/>
  <c r="AI15" i="14"/>
  <c r="AI16" i="14"/>
  <c r="AI17" i="14"/>
  <c r="AI18" i="14"/>
  <c r="AI19" i="14"/>
  <c r="AI20" i="14"/>
  <c r="AI21" i="14"/>
  <c r="AI22" i="14"/>
  <c r="AI34" i="14"/>
  <c r="AI36" i="14"/>
  <c r="AI37" i="14"/>
  <c r="AI38" i="14"/>
  <c r="AI39" i="14"/>
  <c r="AI40" i="14"/>
  <c r="AI41" i="14"/>
  <c r="AI42" i="14"/>
  <c r="AI43" i="14"/>
  <c r="AI44" i="14"/>
  <c r="AI46" i="14"/>
  <c r="AI52" i="14"/>
  <c r="AI53" i="14"/>
  <c r="AI54" i="14"/>
  <c r="AI55" i="14"/>
  <c r="AI56" i="14"/>
  <c r="AI57" i="14"/>
  <c r="AI58" i="14"/>
  <c r="AI59" i="14"/>
  <c r="AI60" i="14"/>
  <c r="AI61" i="14"/>
  <c r="AI62" i="14"/>
  <c r="AI63" i="14"/>
  <c r="AI64" i="14"/>
  <c r="AI85" i="14"/>
  <c r="AI91" i="14"/>
  <c r="AI94" i="14"/>
  <c r="AI95" i="14"/>
  <c r="AI96" i="14"/>
  <c r="AI98" i="14"/>
  <c r="AI99" i="14"/>
  <c r="AI100" i="14"/>
  <c r="AI101" i="14"/>
  <c r="AI102" i="14"/>
  <c r="AI103" i="14"/>
  <c r="AI104" i="14"/>
  <c r="AI105" i="14"/>
  <c r="AI106" i="14"/>
  <c r="AI117" i="14"/>
  <c r="AI118" i="14"/>
  <c r="AI120" i="14"/>
  <c r="AI121" i="14"/>
  <c r="W6" i="19" l="1"/>
  <c r="W7" i="19"/>
  <c r="W8" i="19"/>
  <c r="W9" i="19"/>
  <c r="W10" i="19"/>
  <c r="W11" i="19"/>
  <c r="W12" i="19"/>
  <c r="W13" i="19"/>
  <c r="W14" i="19"/>
  <c r="W15" i="19"/>
  <c r="W16" i="19"/>
  <c r="W17" i="19"/>
  <c r="W18" i="19"/>
  <c r="AI69" i="14" s="1"/>
  <c r="W19" i="19"/>
  <c r="W20" i="19"/>
  <c r="W21" i="19"/>
  <c r="W22" i="19"/>
  <c r="AI73" i="14" s="1"/>
  <c r="W23" i="19"/>
  <c r="AI74" i="14" s="1"/>
  <c r="W24" i="19"/>
  <c r="W25" i="19"/>
  <c r="W26" i="19"/>
  <c r="W27" i="19"/>
  <c r="W28" i="19"/>
  <c r="W29" i="19"/>
  <c r="W30" i="19"/>
  <c r="W31" i="19"/>
  <c r="AI83" i="14" s="1"/>
  <c r="W32" i="19"/>
  <c r="W33" i="19"/>
  <c r="W34" i="19"/>
  <c r="W35" i="19"/>
  <c r="W36" i="19"/>
  <c r="W37" i="19"/>
  <c r="W38" i="19"/>
  <c r="W39" i="19"/>
  <c r="W40" i="19"/>
  <c r="W41" i="19"/>
  <c r="W42" i="19"/>
  <c r="W43" i="19"/>
  <c r="W44" i="19"/>
  <c r="W45" i="19"/>
  <c r="W46" i="19"/>
  <c r="W47" i="19"/>
  <c r="W48" i="19"/>
  <c r="W49" i="19"/>
  <c r="W50" i="19"/>
  <c r="W51" i="19"/>
  <c r="W52" i="19"/>
  <c r="W53" i="19"/>
  <c r="W54" i="19"/>
  <c r="AI78" i="14" s="1"/>
  <c r="W55" i="19"/>
  <c r="W56" i="19"/>
  <c r="W57" i="19"/>
  <c r="W58" i="19"/>
  <c r="AI90" i="14" s="1"/>
  <c r="W59" i="19"/>
  <c r="W60" i="19"/>
  <c r="W61" i="19"/>
  <c r="W62" i="19"/>
  <c r="W63" i="19"/>
  <c r="W64" i="19"/>
  <c r="W65" i="19"/>
  <c r="W66" i="19"/>
  <c r="AI87" i="14" s="1"/>
  <c r="W67" i="19"/>
  <c r="W68" i="19"/>
  <c r="W69" i="19"/>
  <c r="W70" i="19"/>
  <c r="W71" i="19"/>
  <c r="W72" i="19"/>
  <c r="W73" i="19"/>
  <c r="W74" i="19"/>
  <c r="W75" i="19"/>
  <c r="W76" i="19"/>
  <c r="AI29" i="14" s="1"/>
  <c r="W77" i="19"/>
  <c r="W78" i="19"/>
  <c r="AI88" i="14" s="1"/>
  <c r="W79" i="19"/>
  <c r="W80" i="19"/>
  <c r="W81" i="19"/>
  <c r="W82" i="19"/>
  <c r="W83" i="19"/>
  <c r="W84" i="19"/>
  <c r="W85" i="19"/>
  <c r="AI108" i="14" s="1"/>
  <c r="W86" i="19"/>
  <c r="W87" i="19"/>
  <c r="W88" i="19"/>
  <c r="W89" i="19"/>
  <c r="W90" i="19"/>
  <c r="W91" i="19"/>
  <c r="AI109" i="14" s="1"/>
  <c r="W92" i="19"/>
  <c r="W93" i="19"/>
  <c r="W94" i="19"/>
  <c r="W95" i="19"/>
  <c r="W96" i="19"/>
  <c r="W97" i="19"/>
  <c r="W98" i="19"/>
  <c r="W99" i="19"/>
  <c r="W100" i="19"/>
  <c r="W101" i="19"/>
  <c r="AI5" i="14" s="1"/>
  <c r="W102" i="19"/>
  <c r="W103" i="19"/>
  <c r="W104" i="19"/>
  <c r="W105" i="19"/>
  <c r="W106" i="19"/>
  <c r="AI48" i="14" s="1"/>
  <c r="W107" i="19"/>
  <c r="W108" i="19"/>
  <c r="W109" i="19"/>
  <c r="W110" i="19"/>
  <c r="W111" i="19"/>
  <c r="W112" i="19"/>
  <c r="W113" i="19"/>
  <c r="W114" i="19"/>
  <c r="AI116" i="14" s="1"/>
  <c r="W115" i="19"/>
  <c r="W116" i="19"/>
  <c r="W117" i="19"/>
  <c r="AI82" i="14" s="1"/>
  <c r="W118" i="19"/>
  <c r="W119" i="19"/>
  <c r="AI77" i="14" s="1"/>
  <c r="W120" i="19"/>
  <c r="W121" i="19"/>
  <c r="W122" i="19"/>
  <c r="W123" i="19"/>
  <c r="W124" i="19"/>
  <c r="W125" i="19"/>
  <c r="W126" i="19"/>
  <c r="W127" i="19"/>
  <c r="W128" i="19"/>
  <c r="W129" i="19"/>
  <c r="W130" i="19"/>
  <c r="W131" i="19"/>
  <c r="W132" i="19"/>
  <c r="W133" i="19"/>
  <c r="W134" i="19"/>
  <c r="W135" i="19"/>
  <c r="AI112" i="14" s="1"/>
  <c r="W136" i="19"/>
  <c r="AI113" i="14" s="1"/>
  <c r="W137" i="19"/>
  <c r="W138" i="19"/>
  <c r="W5" i="19"/>
  <c r="Y5" i="19"/>
  <c r="X5" i="19"/>
  <c r="AI119" i="14" l="1"/>
  <c r="AI49" i="14"/>
  <c r="AI111" i="14"/>
  <c r="AI110" i="14"/>
  <c r="AI45" i="14"/>
  <c r="AI27" i="14"/>
  <c r="AI84" i="14"/>
  <c r="AI115" i="14"/>
  <c r="AI50" i="14"/>
  <c r="AI75" i="14"/>
  <c r="AI71" i="14"/>
  <c r="AI33" i="14"/>
  <c r="AI24" i="14"/>
  <c r="AI35" i="14"/>
  <c r="AI68" i="14"/>
  <c r="AI114" i="14"/>
  <c r="AI47" i="14"/>
  <c r="AI93" i="14"/>
  <c r="AI76" i="14"/>
  <c r="AI70" i="14"/>
  <c r="AI30" i="14"/>
  <c r="AI51" i="14"/>
  <c r="AI79" i="14"/>
  <c r="AI28" i="14"/>
  <c r="AI86" i="14"/>
  <c r="AI81" i="14"/>
  <c r="AI72" i="14"/>
  <c r="AI65" i="14"/>
  <c r="AI25" i="14"/>
  <c r="AI80" i="14"/>
  <c r="AI97" i="14"/>
  <c r="AI92" i="14"/>
  <c r="AI32" i="14"/>
  <c r="AI67" i="14"/>
  <c r="AI107" i="14"/>
  <c r="AI31" i="14"/>
  <c r="AI89" i="14"/>
  <c r="AI66" i="14"/>
  <c r="AI26" i="14"/>
  <c r="AI23" i="14"/>
  <c r="A13" i="20"/>
  <c r="B13" i="20"/>
  <c r="AE13" i="20"/>
  <c r="AF13" i="20"/>
  <c r="A11" i="20" l="1"/>
  <c r="B11" i="20"/>
  <c r="AE11" i="20"/>
  <c r="AF11" i="20"/>
  <c r="I142" i="19" l="1"/>
  <c r="H142" i="19"/>
  <c r="V5" i="19" l="1"/>
  <c r="T5" i="19" s="1"/>
  <c r="V50" i="19"/>
  <c r="T50" i="19" s="1"/>
  <c r="X50" i="19"/>
  <c r="Y50" i="19"/>
  <c r="D230" i="74" l="1"/>
  <c r="D231" i="74"/>
  <c r="H230" i="74"/>
  <c r="H231" i="74"/>
  <c r="L142" i="19" l="1"/>
  <c r="K142" i="19"/>
  <c r="J142" i="19"/>
  <c r="H6" i="36"/>
  <c r="A21" i="20" l="1"/>
  <c r="AE21" i="20"/>
  <c r="AF21" i="20"/>
  <c r="A20" i="20" l="1"/>
  <c r="AE20" i="20"/>
  <c r="AF20" i="20"/>
  <c r="A18" i="20"/>
  <c r="AE18" i="20"/>
  <c r="AF18" i="20"/>
  <c r="AC20" i="20" l="1"/>
  <c r="W20" i="20"/>
  <c r="AB20" i="20"/>
  <c r="X18" i="20"/>
  <c r="AC18" i="20"/>
  <c r="E24" i="43"/>
  <c r="E22" i="43"/>
  <c r="E21" i="43"/>
  <c r="E20" i="43"/>
  <c r="E19" i="43"/>
  <c r="E18" i="43"/>
  <c r="E17" i="43"/>
  <c r="E10" i="43"/>
  <c r="E9" i="43"/>
  <c r="E8" i="43"/>
  <c r="C5" i="43"/>
  <c r="N31" i="37"/>
  <c r="M31" i="37"/>
  <c r="J31" i="37"/>
  <c r="I31" i="37"/>
  <c r="F31" i="37"/>
  <c r="E31" i="37"/>
  <c r="C31" i="37"/>
  <c r="B31" i="37"/>
  <c r="N30" i="37"/>
  <c r="M30" i="37"/>
  <c r="J30" i="37"/>
  <c r="I30" i="37"/>
  <c r="F30" i="37"/>
  <c r="E30" i="37"/>
  <c r="C30" i="37"/>
  <c r="B30" i="37"/>
  <c r="N29" i="37"/>
  <c r="M29" i="37"/>
  <c r="J29" i="37"/>
  <c r="I29" i="37"/>
  <c r="F29" i="37"/>
  <c r="E29" i="37"/>
  <c r="C29" i="37"/>
  <c r="B29" i="37"/>
  <c r="N28" i="37"/>
  <c r="M28" i="37"/>
  <c r="J28" i="37"/>
  <c r="I28" i="37"/>
  <c r="F28" i="37"/>
  <c r="E28" i="37"/>
  <c r="C28" i="37"/>
  <c r="B28" i="37"/>
  <c r="N27" i="37"/>
  <c r="M27" i="37"/>
  <c r="J27" i="37"/>
  <c r="I27" i="37"/>
  <c r="F27" i="37"/>
  <c r="E27" i="37"/>
  <c r="C27" i="37"/>
  <c r="B27" i="37"/>
  <c r="N26" i="37"/>
  <c r="M26" i="37"/>
  <c r="J26" i="37"/>
  <c r="I26" i="37"/>
  <c r="F26" i="37"/>
  <c r="E26" i="37"/>
  <c r="C26" i="37"/>
  <c r="B26" i="37"/>
  <c r="N25" i="37"/>
  <c r="M25" i="37"/>
  <c r="L25" i="37"/>
  <c r="J25" i="37"/>
  <c r="I25" i="37"/>
  <c r="H25" i="37"/>
  <c r="F25" i="37"/>
  <c r="E25" i="37"/>
  <c r="D25" i="37"/>
  <c r="C25" i="37"/>
  <c r="B25" i="37"/>
  <c r="N24" i="37"/>
  <c r="M24" i="37"/>
  <c r="J24" i="37"/>
  <c r="I24" i="37"/>
  <c r="F24" i="37"/>
  <c r="E24" i="37"/>
  <c r="C24" i="37"/>
  <c r="B24" i="37"/>
  <c r="N23" i="37"/>
  <c r="M23" i="37"/>
  <c r="J23" i="37"/>
  <c r="I23" i="37"/>
  <c r="F23" i="37"/>
  <c r="E23" i="37"/>
  <c r="C23" i="37"/>
  <c r="B23" i="37"/>
  <c r="N22" i="37"/>
  <c r="M22" i="37"/>
  <c r="J22" i="37"/>
  <c r="I22" i="37"/>
  <c r="F22" i="37"/>
  <c r="E22" i="37"/>
  <c r="C22" i="37"/>
  <c r="B22" i="37"/>
  <c r="C16" i="37"/>
  <c r="B16" i="37"/>
  <c r="C15" i="37"/>
  <c r="B15" i="37"/>
  <c r="C14" i="37"/>
  <c r="B14" i="37"/>
  <c r="C13" i="37"/>
  <c r="B13" i="37"/>
  <c r="C12" i="37"/>
  <c r="B12" i="37"/>
  <c r="C11" i="37"/>
  <c r="B11" i="37"/>
  <c r="C10" i="37"/>
  <c r="B10" i="37"/>
  <c r="C9" i="37"/>
  <c r="B9" i="37"/>
  <c r="C8" i="37"/>
  <c r="B8" i="37"/>
  <c r="C7" i="37"/>
  <c r="B7" i="37"/>
  <c r="T3" i="41"/>
  <c r="S3" i="41"/>
  <c r="R3" i="41"/>
  <c r="Q3" i="41"/>
  <c r="P3" i="41"/>
  <c r="O3" i="41"/>
  <c r="N3" i="41"/>
  <c r="M3" i="41"/>
  <c r="AF16" i="20"/>
  <c r="AE16" i="20"/>
  <c r="B16" i="20"/>
  <c r="A16" i="20"/>
  <c r="AF15" i="20"/>
  <c r="AE15" i="20"/>
  <c r="B15" i="20"/>
  <c r="A15" i="20"/>
  <c r="AF14" i="20"/>
  <c r="AE14" i="20"/>
  <c r="B14" i="20"/>
  <c r="A14" i="20"/>
  <c r="AF17" i="20"/>
  <c r="AE17" i="20"/>
  <c r="B17" i="20"/>
  <c r="A17" i="20"/>
  <c r="AF19" i="20"/>
  <c r="AE19" i="20"/>
  <c r="B19" i="20"/>
  <c r="A19" i="20"/>
  <c r="AF22" i="20"/>
  <c r="AE22" i="20"/>
  <c r="B22" i="20"/>
  <c r="A22" i="20"/>
  <c r="AF24" i="20"/>
  <c r="AE24" i="20"/>
  <c r="B24" i="20"/>
  <c r="A24" i="20"/>
  <c r="AF30" i="20"/>
  <c r="AE30" i="20"/>
  <c r="B30" i="20"/>
  <c r="A30" i="20"/>
  <c r="AF26" i="20"/>
  <c r="AE26" i="20"/>
  <c r="B26" i="20"/>
  <c r="A26" i="20"/>
  <c r="AF25" i="20"/>
  <c r="AE25" i="20"/>
  <c r="B25" i="20"/>
  <c r="A25" i="20"/>
  <c r="AF29" i="20"/>
  <c r="AE29" i="20"/>
  <c r="B29" i="20"/>
  <c r="A29" i="20"/>
  <c r="AF28" i="20"/>
  <c r="AE28" i="20"/>
  <c r="B28" i="20"/>
  <c r="A28" i="20"/>
  <c r="AF27" i="20"/>
  <c r="AE27" i="20"/>
  <c r="B27" i="20"/>
  <c r="A27" i="20"/>
  <c r="AF23" i="20"/>
  <c r="AE23" i="20"/>
  <c r="B23" i="20"/>
  <c r="A23" i="20"/>
  <c r="AF34" i="20"/>
  <c r="AE34" i="20"/>
  <c r="B34" i="20"/>
  <c r="A34" i="20"/>
  <c r="AF33" i="20"/>
  <c r="AE33" i="20"/>
  <c r="B33" i="20"/>
  <c r="A33" i="20"/>
  <c r="AF32" i="20"/>
  <c r="AE32" i="20"/>
  <c r="B32" i="20"/>
  <c r="A32" i="20"/>
  <c r="AF31" i="20"/>
  <c r="AE31" i="20"/>
  <c r="B31" i="20"/>
  <c r="A31" i="20"/>
  <c r="AF37" i="20"/>
  <c r="AE37" i="20"/>
  <c r="B37" i="20"/>
  <c r="A37" i="20"/>
  <c r="AF36" i="20"/>
  <c r="AE36" i="20"/>
  <c r="B36" i="20"/>
  <c r="A36" i="20"/>
  <c r="AF35" i="20"/>
  <c r="AE35" i="20"/>
  <c r="B35" i="20"/>
  <c r="A35" i="20"/>
  <c r="AF41" i="20"/>
  <c r="AE41" i="20"/>
  <c r="B41" i="20"/>
  <c r="A41" i="20"/>
  <c r="AF38" i="20"/>
  <c r="AE38" i="20"/>
  <c r="B38" i="20"/>
  <c r="A38" i="20"/>
  <c r="AF40" i="20"/>
  <c r="AE40" i="20"/>
  <c r="B40" i="20"/>
  <c r="A40" i="20"/>
  <c r="AF44" i="20"/>
  <c r="AE44" i="20"/>
  <c r="B44" i="20"/>
  <c r="A44" i="20"/>
  <c r="AF43" i="20"/>
  <c r="AE43" i="20"/>
  <c r="B43" i="20"/>
  <c r="A43" i="20"/>
  <c r="AF39" i="20"/>
  <c r="AE39" i="20"/>
  <c r="B39" i="20"/>
  <c r="A39" i="20"/>
  <c r="AF42" i="20"/>
  <c r="AE42" i="20"/>
  <c r="B42" i="20"/>
  <c r="A42" i="20"/>
  <c r="AF45" i="20"/>
  <c r="AE45" i="20"/>
  <c r="B45" i="20"/>
  <c r="A45" i="20"/>
  <c r="AF49" i="20"/>
  <c r="AE49" i="20"/>
  <c r="B49" i="20"/>
  <c r="A49" i="20"/>
  <c r="AF46" i="20"/>
  <c r="AE46" i="20"/>
  <c r="A46" i="20"/>
  <c r="AF48" i="20"/>
  <c r="AE48" i="20"/>
  <c r="B48" i="20"/>
  <c r="A48" i="20"/>
  <c r="AF51" i="20"/>
  <c r="AE51" i="20"/>
  <c r="B51" i="20"/>
  <c r="A51" i="20"/>
  <c r="AF58" i="20"/>
  <c r="AE58" i="20"/>
  <c r="B58" i="20"/>
  <c r="A58" i="20"/>
  <c r="AF47" i="20"/>
  <c r="AE47" i="20"/>
  <c r="B47" i="20"/>
  <c r="A47" i="20"/>
  <c r="AF50" i="20"/>
  <c r="AE50" i="20"/>
  <c r="B50" i="20"/>
  <c r="A50" i="20"/>
  <c r="AF57" i="20"/>
  <c r="AE57" i="20"/>
  <c r="B57" i="20"/>
  <c r="A57" i="20"/>
  <c r="AF52" i="20"/>
  <c r="AE52" i="20"/>
  <c r="B52" i="20"/>
  <c r="A52" i="20"/>
  <c r="AF81" i="20"/>
  <c r="AE81" i="20"/>
  <c r="B81" i="20"/>
  <c r="A81" i="20"/>
  <c r="AF80" i="20"/>
  <c r="AE80" i="20"/>
  <c r="B80" i="20"/>
  <c r="A80" i="20"/>
  <c r="AF79" i="20"/>
  <c r="AE79" i="20"/>
  <c r="B79" i="20"/>
  <c r="A79" i="20"/>
  <c r="AF78" i="20"/>
  <c r="AE78" i="20"/>
  <c r="B78" i="20"/>
  <c r="A78" i="20"/>
  <c r="AF77" i="20"/>
  <c r="AE77" i="20"/>
  <c r="B77" i="20"/>
  <c r="A77" i="20"/>
  <c r="AF76" i="20"/>
  <c r="AE76" i="20"/>
  <c r="B76" i="20"/>
  <c r="A76" i="20"/>
  <c r="AF75" i="20"/>
  <c r="AE75" i="20"/>
  <c r="B75" i="20"/>
  <c r="A75" i="20"/>
  <c r="AF74" i="20"/>
  <c r="AE74" i="20"/>
  <c r="B74" i="20"/>
  <c r="A74" i="20"/>
  <c r="AF73" i="20"/>
  <c r="AE73" i="20"/>
  <c r="B73" i="20"/>
  <c r="A73" i="20"/>
  <c r="AF72" i="20"/>
  <c r="AE72" i="20"/>
  <c r="B72" i="20"/>
  <c r="A72" i="20"/>
  <c r="AF71" i="20"/>
  <c r="AE71" i="20"/>
  <c r="B71" i="20"/>
  <c r="A71" i="20"/>
  <c r="AF66" i="20"/>
  <c r="AE66" i="20"/>
  <c r="B66" i="20"/>
  <c r="A66" i="20"/>
  <c r="AF54" i="20"/>
  <c r="AE54" i="20"/>
  <c r="A54" i="20"/>
  <c r="AF53" i="20"/>
  <c r="AE53" i="20"/>
  <c r="A53" i="20"/>
  <c r="AF65" i="20"/>
  <c r="AE65" i="20"/>
  <c r="B65" i="20"/>
  <c r="A65" i="20"/>
  <c r="AF64" i="20"/>
  <c r="AE64" i="20"/>
  <c r="B64" i="20"/>
  <c r="A64" i="20"/>
  <c r="AF56" i="20"/>
  <c r="AE56" i="20"/>
  <c r="A56" i="20"/>
  <c r="AF61" i="20"/>
  <c r="AE61" i="20"/>
  <c r="B61" i="20"/>
  <c r="A61" i="20"/>
  <c r="AF60" i="20"/>
  <c r="AE60" i="20"/>
  <c r="B60" i="20"/>
  <c r="A60" i="20"/>
  <c r="AF55" i="20"/>
  <c r="AE55" i="20"/>
  <c r="A55" i="20"/>
  <c r="AF59" i="20"/>
  <c r="AE59" i="20"/>
  <c r="B59" i="20"/>
  <c r="A59" i="20"/>
  <c r="AF62" i="20"/>
  <c r="AE62" i="20"/>
  <c r="B62" i="20"/>
  <c r="A62" i="20"/>
  <c r="AF63" i="20"/>
  <c r="AE63" i="20"/>
  <c r="B63" i="20"/>
  <c r="A63" i="20"/>
  <c r="AF67" i="20"/>
  <c r="AE67" i="20"/>
  <c r="B67" i="20"/>
  <c r="A67" i="20"/>
  <c r="AF68" i="20"/>
  <c r="AE68" i="20"/>
  <c r="B68" i="20"/>
  <c r="A68" i="20"/>
  <c r="AF70" i="20"/>
  <c r="AE70" i="20"/>
  <c r="B70" i="20"/>
  <c r="A70" i="20"/>
  <c r="AF69" i="20"/>
  <c r="AE69" i="20"/>
  <c r="B69" i="20"/>
  <c r="A69" i="20"/>
  <c r="AF84" i="20"/>
  <c r="AE84" i="20"/>
  <c r="B84" i="20"/>
  <c r="A84" i="20"/>
  <c r="AF83" i="20"/>
  <c r="AE83" i="20"/>
  <c r="B83" i="20"/>
  <c r="A83" i="20"/>
  <c r="AF82" i="20"/>
  <c r="AE82" i="20"/>
  <c r="B82" i="20"/>
  <c r="A82" i="20"/>
  <c r="AF85" i="20"/>
  <c r="AE85" i="20"/>
  <c r="B85" i="20"/>
  <c r="A85" i="20"/>
  <c r="AF86" i="20"/>
  <c r="AE86" i="20"/>
  <c r="B86" i="20"/>
  <c r="A86" i="20"/>
  <c r="AF87" i="20"/>
  <c r="AE87" i="20"/>
  <c r="B87" i="20"/>
  <c r="A87" i="20"/>
  <c r="AF91" i="20"/>
  <c r="AE91" i="20"/>
  <c r="B91" i="20"/>
  <c r="A91" i="20"/>
  <c r="AF90" i="20"/>
  <c r="AE90" i="20"/>
  <c r="B90" i="20"/>
  <c r="A90" i="20"/>
  <c r="AF89" i="20"/>
  <c r="AE89" i="20"/>
  <c r="B89" i="20"/>
  <c r="A89" i="20"/>
  <c r="AF88" i="20"/>
  <c r="AE88" i="20"/>
  <c r="B88" i="20"/>
  <c r="A88" i="20"/>
  <c r="AF92" i="20"/>
  <c r="AE92" i="20"/>
  <c r="B92" i="20"/>
  <c r="A92" i="20"/>
  <c r="AF94" i="20"/>
  <c r="AE94" i="20"/>
  <c r="B94" i="20"/>
  <c r="A94" i="20"/>
  <c r="AF93" i="20"/>
  <c r="AE93" i="20"/>
  <c r="B93" i="20"/>
  <c r="A93" i="20"/>
  <c r="AF96" i="20"/>
  <c r="AE96" i="20"/>
  <c r="B96" i="20"/>
  <c r="A96" i="20"/>
  <c r="AF95" i="20"/>
  <c r="AE95" i="20"/>
  <c r="B95" i="20"/>
  <c r="A95" i="20"/>
  <c r="AF97" i="20"/>
  <c r="AE97" i="20"/>
  <c r="B97" i="20"/>
  <c r="A97" i="20"/>
  <c r="AF99" i="20"/>
  <c r="AE99" i="20"/>
  <c r="B99" i="20"/>
  <c r="A99" i="20"/>
  <c r="AF98" i="20"/>
  <c r="AE98" i="20"/>
  <c r="B98" i="20"/>
  <c r="A98" i="20"/>
  <c r="AF102" i="20"/>
  <c r="AE102" i="20"/>
  <c r="B102" i="20"/>
  <c r="A102" i="20"/>
  <c r="AF101" i="20"/>
  <c r="AE101" i="20"/>
  <c r="B101" i="20"/>
  <c r="A101" i="20"/>
  <c r="AF100" i="20"/>
  <c r="AE100" i="20"/>
  <c r="B100" i="20"/>
  <c r="A100" i="20"/>
  <c r="AF104" i="20"/>
  <c r="AE104" i="20"/>
  <c r="B104" i="20"/>
  <c r="A104" i="20"/>
  <c r="AF103" i="20"/>
  <c r="AE103" i="20"/>
  <c r="B103" i="20"/>
  <c r="A103" i="20"/>
  <c r="AF105" i="20"/>
  <c r="AE105" i="20"/>
  <c r="B105" i="20"/>
  <c r="A105" i="20"/>
  <c r="AF107" i="20"/>
  <c r="AE107" i="20"/>
  <c r="B107" i="20"/>
  <c r="A107" i="20"/>
  <c r="AF106" i="20"/>
  <c r="AE106" i="20"/>
  <c r="B106" i="20"/>
  <c r="A106" i="20"/>
  <c r="AF108" i="20"/>
  <c r="AE108" i="20"/>
  <c r="B108" i="20"/>
  <c r="A108" i="20"/>
  <c r="AF109" i="20"/>
  <c r="AE109" i="20"/>
  <c r="B109" i="20"/>
  <c r="A109" i="20"/>
  <c r="AF114" i="20"/>
  <c r="AE114" i="20"/>
  <c r="B114" i="20"/>
  <c r="A114" i="20"/>
  <c r="AF113" i="20"/>
  <c r="AE113" i="20"/>
  <c r="B113" i="20"/>
  <c r="A113" i="20"/>
  <c r="AF112" i="20"/>
  <c r="AE112" i="20"/>
  <c r="B112" i="20"/>
  <c r="A112" i="20"/>
  <c r="AF111" i="20"/>
  <c r="AE111" i="20"/>
  <c r="B111" i="20"/>
  <c r="A111" i="20"/>
  <c r="AF110" i="20"/>
  <c r="AE110" i="20"/>
  <c r="B110" i="20"/>
  <c r="A110" i="20"/>
  <c r="AF118" i="20"/>
  <c r="AE118" i="20"/>
  <c r="B118" i="20"/>
  <c r="A118" i="20"/>
  <c r="AF117" i="20"/>
  <c r="AE117" i="20"/>
  <c r="B117" i="20"/>
  <c r="A117" i="20"/>
  <c r="AF116" i="20"/>
  <c r="AE116" i="20"/>
  <c r="B116" i="20"/>
  <c r="A116" i="20"/>
  <c r="AF115" i="20"/>
  <c r="AE115" i="20"/>
  <c r="B115" i="20"/>
  <c r="A115" i="20"/>
  <c r="AF120" i="20"/>
  <c r="AE120" i="20"/>
  <c r="B120" i="20"/>
  <c r="A120" i="20"/>
  <c r="AF119" i="20"/>
  <c r="AE119" i="20"/>
  <c r="B119" i="20"/>
  <c r="A119" i="20"/>
  <c r="AF122" i="20"/>
  <c r="AE122" i="20"/>
  <c r="B122" i="20"/>
  <c r="A122" i="20"/>
  <c r="AF121" i="20"/>
  <c r="AE121" i="20"/>
  <c r="B121" i="20"/>
  <c r="A121" i="20"/>
  <c r="AF123" i="20"/>
  <c r="AE123" i="20"/>
  <c r="B123" i="20"/>
  <c r="A123" i="20"/>
  <c r="AF124" i="20"/>
  <c r="AE124" i="20"/>
  <c r="B124" i="20"/>
  <c r="A124" i="20"/>
  <c r="AF125" i="20"/>
  <c r="AE125" i="20"/>
  <c r="B125" i="20"/>
  <c r="A125" i="20"/>
  <c r="AF126" i="20"/>
  <c r="AE126" i="20"/>
  <c r="B126" i="20"/>
  <c r="A126" i="20"/>
  <c r="AF127" i="20"/>
  <c r="AE127" i="20"/>
  <c r="B127" i="20"/>
  <c r="A127" i="20"/>
  <c r="AF128" i="20"/>
  <c r="AE128" i="20"/>
  <c r="B128" i="20"/>
  <c r="A128" i="20"/>
  <c r="AF129" i="20"/>
  <c r="AE129" i="20"/>
  <c r="B129" i="20"/>
  <c r="A129" i="20"/>
  <c r="AF130" i="20"/>
  <c r="AE130" i="20"/>
  <c r="B130" i="20"/>
  <c r="A130" i="20"/>
  <c r="AF132" i="20"/>
  <c r="AE132" i="20"/>
  <c r="B132" i="20"/>
  <c r="A132" i="20"/>
  <c r="AF131" i="20"/>
  <c r="AE131" i="20"/>
  <c r="B131" i="20"/>
  <c r="A131" i="20"/>
  <c r="AF134" i="20"/>
  <c r="AE134" i="20"/>
  <c r="B134" i="20"/>
  <c r="A134" i="20"/>
  <c r="AF133" i="20"/>
  <c r="AE133" i="20"/>
  <c r="B133" i="20"/>
  <c r="A133" i="20"/>
  <c r="AF139" i="20"/>
  <c r="AE139" i="20"/>
  <c r="B139" i="20"/>
  <c r="A139" i="20"/>
  <c r="AF138" i="20"/>
  <c r="AE138" i="20"/>
  <c r="B138" i="20"/>
  <c r="A138" i="20"/>
  <c r="AF137" i="20"/>
  <c r="AE137" i="20"/>
  <c r="B137" i="20"/>
  <c r="A137" i="20"/>
  <c r="AF136" i="20"/>
  <c r="AE136" i="20"/>
  <c r="B136" i="20"/>
  <c r="A136" i="20"/>
  <c r="AF135" i="20"/>
  <c r="AE135" i="20"/>
  <c r="B135" i="20"/>
  <c r="A135" i="20"/>
  <c r="AF142" i="20"/>
  <c r="AE142" i="20"/>
  <c r="B142" i="20"/>
  <c r="A142" i="20"/>
  <c r="AF141" i="20"/>
  <c r="AE141" i="20"/>
  <c r="B141" i="20"/>
  <c r="A141" i="20"/>
  <c r="AF140" i="20"/>
  <c r="AE140" i="20"/>
  <c r="B140" i="20"/>
  <c r="A140" i="20"/>
  <c r="AF153" i="20"/>
  <c r="AE153" i="20"/>
  <c r="B153" i="20"/>
  <c r="A153" i="20"/>
  <c r="AF152" i="20"/>
  <c r="AE152" i="20"/>
  <c r="B152" i="20"/>
  <c r="A152" i="20"/>
  <c r="AF151" i="20"/>
  <c r="AE151" i="20"/>
  <c r="B151" i="20"/>
  <c r="A151" i="20"/>
  <c r="AF150" i="20"/>
  <c r="AE150" i="20"/>
  <c r="B150" i="20"/>
  <c r="A150" i="20"/>
  <c r="AF149" i="20"/>
  <c r="AE149" i="20"/>
  <c r="B149" i="20"/>
  <c r="A149" i="20"/>
  <c r="AF148" i="20"/>
  <c r="AE148" i="20"/>
  <c r="B148" i="20"/>
  <c r="A148" i="20"/>
  <c r="AF147" i="20"/>
  <c r="AE147" i="20"/>
  <c r="B147" i="20"/>
  <c r="A147" i="20"/>
  <c r="AF146" i="20"/>
  <c r="AE146" i="20"/>
  <c r="B146" i="20"/>
  <c r="A146" i="20"/>
  <c r="AF145" i="20"/>
  <c r="AE145" i="20"/>
  <c r="B145" i="20"/>
  <c r="A145" i="20"/>
  <c r="AF144" i="20"/>
  <c r="AE144" i="20"/>
  <c r="B144" i="20"/>
  <c r="A144" i="20"/>
  <c r="AF143" i="20"/>
  <c r="AE143" i="20"/>
  <c r="B143" i="20"/>
  <c r="A143" i="20"/>
  <c r="AF156" i="20"/>
  <c r="AE156" i="20"/>
  <c r="B156" i="20"/>
  <c r="A156" i="20"/>
  <c r="AF155" i="20"/>
  <c r="AE155" i="20"/>
  <c r="B155" i="20"/>
  <c r="A155" i="20"/>
  <c r="AF154" i="20"/>
  <c r="AE154" i="20"/>
  <c r="B154" i="20"/>
  <c r="A154" i="20"/>
  <c r="AF162" i="20"/>
  <c r="AE162" i="20"/>
  <c r="B162" i="20"/>
  <c r="A162" i="20"/>
  <c r="AF161" i="20"/>
  <c r="AE161" i="20"/>
  <c r="B161" i="20"/>
  <c r="A161" i="20"/>
  <c r="AF160" i="20"/>
  <c r="AE160" i="20"/>
  <c r="B160" i="20"/>
  <c r="A160" i="20"/>
  <c r="AF159" i="20"/>
  <c r="AE159" i="20"/>
  <c r="B159" i="20"/>
  <c r="A159" i="20"/>
  <c r="AF158" i="20"/>
  <c r="AE158" i="20"/>
  <c r="B158" i="20"/>
  <c r="A158" i="20"/>
  <c r="AF157" i="20"/>
  <c r="AE157" i="20"/>
  <c r="B157" i="20"/>
  <c r="A157" i="20"/>
  <c r="AF164" i="20"/>
  <c r="AE164" i="20"/>
  <c r="B164" i="20"/>
  <c r="A164" i="20"/>
  <c r="AF163" i="20"/>
  <c r="AE163" i="20"/>
  <c r="B163" i="20"/>
  <c r="A163" i="20"/>
  <c r="AF166" i="20"/>
  <c r="AE166" i="20"/>
  <c r="B166" i="20"/>
  <c r="A166" i="20"/>
  <c r="AF165" i="20"/>
  <c r="AE165" i="20"/>
  <c r="B165" i="20"/>
  <c r="A165" i="20"/>
  <c r="AF167" i="20"/>
  <c r="AE167" i="20"/>
  <c r="B167" i="20"/>
  <c r="A167" i="20"/>
  <c r="AF168" i="20"/>
  <c r="AE168" i="20"/>
  <c r="B168" i="20"/>
  <c r="A168" i="20"/>
  <c r="AF169" i="20"/>
  <c r="AE169" i="20"/>
  <c r="B169" i="20"/>
  <c r="A169" i="20"/>
  <c r="AF171" i="20"/>
  <c r="AE171" i="20"/>
  <c r="B171" i="20"/>
  <c r="A171" i="20"/>
  <c r="AF170" i="20"/>
  <c r="AE170" i="20"/>
  <c r="B170" i="20"/>
  <c r="A170" i="20"/>
  <c r="AF172" i="20"/>
  <c r="AE172" i="20"/>
  <c r="B172" i="20"/>
  <c r="A172" i="20"/>
  <c r="AF173" i="20"/>
  <c r="AE173" i="20"/>
  <c r="B173" i="20"/>
  <c r="A173" i="20"/>
  <c r="AF174" i="20"/>
  <c r="AE174" i="20"/>
  <c r="B174" i="20"/>
  <c r="A174" i="20"/>
  <c r="AF175" i="20"/>
  <c r="AE175" i="20"/>
  <c r="B175" i="20"/>
  <c r="A175" i="20"/>
  <c r="AF177" i="20"/>
  <c r="AE177" i="20"/>
  <c r="B177" i="20"/>
  <c r="A177" i="20"/>
  <c r="AF176" i="20"/>
  <c r="AE176" i="20"/>
  <c r="B176" i="20"/>
  <c r="A176" i="20"/>
  <c r="AF178" i="20"/>
  <c r="AE178" i="20"/>
  <c r="B178" i="20"/>
  <c r="A178" i="20"/>
  <c r="AF179" i="20"/>
  <c r="AE179" i="20"/>
  <c r="B179" i="20"/>
  <c r="A179" i="20"/>
  <c r="AF180" i="20"/>
  <c r="AE180" i="20"/>
  <c r="B180" i="20"/>
  <c r="A180" i="20"/>
  <c r="AF181" i="20"/>
  <c r="AE181" i="20"/>
  <c r="B181" i="20"/>
  <c r="A181" i="20"/>
  <c r="AF186" i="20"/>
  <c r="AE186" i="20"/>
  <c r="B186" i="20"/>
  <c r="A186" i="20"/>
  <c r="AF185" i="20"/>
  <c r="AE185" i="20"/>
  <c r="B185" i="20"/>
  <c r="A185" i="20"/>
  <c r="AF184" i="20"/>
  <c r="AE184" i="20"/>
  <c r="B184" i="20"/>
  <c r="A184" i="20"/>
  <c r="AF183" i="20"/>
  <c r="AE183" i="20"/>
  <c r="B183" i="20"/>
  <c r="A183" i="20"/>
  <c r="AF182" i="20"/>
  <c r="AE182" i="20"/>
  <c r="B182" i="20"/>
  <c r="A182" i="20"/>
  <c r="AF187" i="20"/>
  <c r="AE187" i="20"/>
  <c r="B187" i="20"/>
  <c r="A187" i="20"/>
  <c r="AF188" i="20"/>
  <c r="AE188" i="20"/>
  <c r="B188" i="20"/>
  <c r="A188" i="20"/>
  <c r="AF190" i="20"/>
  <c r="AE190" i="20"/>
  <c r="B190" i="20"/>
  <c r="A190" i="20"/>
  <c r="AF189" i="20"/>
  <c r="AE189" i="20"/>
  <c r="B189" i="20"/>
  <c r="A189" i="20"/>
  <c r="AF196" i="20"/>
  <c r="AE196" i="20"/>
  <c r="B196" i="20"/>
  <c r="A196" i="20"/>
  <c r="AF195" i="20"/>
  <c r="AE195" i="20"/>
  <c r="B195" i="20"/>
  <c r="A195" i="20"/>
  <c r="AF194" i="20"/>
  <c r="AE194" i="20"/>
  <c r="B194" i="20"/>
  <c r="A194" i="20"/>
  <c r="AF193" i="20"/>
  <c r="AE193" i="20"/>
  <c r="B193" i="20"/>
  <c r="A193" i="20"/>
  <c r="AF192" i="20"/>
  <c r="AE192" i="20"/>
  <c r="B192" i="20"/>
  <c r="A192" i="20"/>
  <c r="AF191" i="20"/>
  <c r="AE191" i="20"/>
  <c r="B191" i="20"/>
  <c r="A191" i="20"/>
  <c r="AF200" i="20"/>
  <c r="AE200" i="20"/>
  <c r="B200" i="20"/>
  <c r="A200" i="20"/>
  <c r="AF199" i="20"/>
  <c r="AE199" i="20"/>
  <c r="B199" i="20"/>
  <c r="A199" i="20"/>
  <c r="AF198" i="20"/>
  <c r="AE198" i="20"/>
  <c r="B198" i="20"/>
  <c r="A198" i="20"/>
  <c r="AF197" i="20"/>
  <c r="AE197" i="20"/>
  <c r="B197" i="20"/>
  <c r="A197" i="20"/>
  <c r="AF201" i="20"/>
  <c r="AE201" i="20"/>
  <c r="B201" i="20"/>
  <c r="A201" i="20"/>
  <c r="AF211" i="20"/>
  <c r="AE211" i="20"/>
  <c r="B211" i="20"/>
  <c r="A211" i="20"/>
  <c r="AF210" i="20"/>
  <c r="AE210" i="20"/>
  <c r="B210" i="20"/>
  <c r="A210" i="20"/>
  <c r="AF209" i="20"/>
  <c r="AE209" i="20"/>
  <c r="B209" i="20"/>
  <c r="A209" i="20"/>
  <c r="AF208" i="20"/>
  <c r="AE208" i="20"/>
  <c r="B208" i="20"/>
  <c r="A208" i="20"/>
  <c r="AF207" i="20"/>
  <c r="AE207" i="20"/>
  <c r="B207" i="20"/>
  <c r="A207" i="20"/>
  <c r="AF206" i="20"/>
  <c r="AE206" i="20"/>
  <c r="B206" i="20"/>
  <c r="A206" i="20"/>
  <c r="AF205" i="20"/>
  <c r="AE205" i="20"/>
  <c r="B205" i="20"/>
  <c r="A205" i="20"/>
  <c r="AF204" i="20"/>
  <c r="AE204" i="20"/>
  <c r="B204" i="20"/>
  <c r="A204" i="20"/>
  <c r="AF203" i="20"/>
  <c r="AE203" i="20"/>
  <c r="B203" i="20"/>
  <c r="A203" i="20"/>
  <c r="AF202" i="20"/>
  <c r="AE202" i="20"/>
  <c r="B202" i="20"/>
  <c r="A202" i="20"/>
  <c r="AF213" i="20"/>
  <c r="AE213" i="20"/>
  <c r="B213" i="20"/>
  <c r="A213" i="20"/>
  <c r="AF212" i="20"/>
  <c r="AE212" i="20"/>
  <c r="B212" i="20"/>
  <c r="A212" i="20"/>
  <c r="AF219" i="20"/>
  <c r="AE219" i="20"/>
  <c r="B219" i="20"/>
  <c r="A219" i="20"/>
  <c r="AF218" i="20"/>
  <c r="AE218" i="20"/>
  <c r="B218" i="20"/>
  <c r="A218" i="20"/>
  <c r="AF217" i="20"/>
  <c r="AE217" i="20"/>
  <c r="B217" i="20"/>
  <c r="A217" i="20"/>
  <c r="AF216" i="20"/>
  <c r="AE216" i="20"/>
  <c r="B216" i="20"/>
  <c r="A216" i="20"/>
  <c r="AF215" i="20"/>
  <c r="AE215" i="20"/>
  <c r="B215" i="20"/>
  <c r="A215" i="20"/>
  <c r="AF214" i="20"/>
  <c r="AE214" i="20"/>
  <c r="B214" i="20"/>
  <c r="A214" i="20"/>
  <c r="AF221" i="20"/>
  <c r="AE221" i="20"/>
  <c r="B221" i="20"/>
  <c r="A221" i="20"/>
  <c r="AF220" i="20"/>
  <c r="AE220" i="20"/>
  <c r="B220" i="20"/>
  <c r="A220" i="20"/>
  <c r="AF222" i="20"/>
  <c r="AE222" i="20"/>
  <c r="B222" i="20"/>
  <c r="A222" i="20"/>
  <c r="AF223" i="20"/>
  <c r="AE223" i="20"/>
  <c r="B223" i="20"/>
  <c r="A223" i="20"/>
  <c r="AF224" i="20"/>
  <c r="AE224" i="20"/>
  <c r="B224" i="20"/>
  <c r="A224" i="20"/>
  <c r="AF227" i="20"/>
  <c r="AE227" i="20"/>
  <c r="B227" i="20"/>
  <c r="A227" i="20"/>
  <c r="AF226" i="20"/>
  <c r="AE226" i="20"/>
  <c r="B226" i="20"/>
  <c r="A226" i="20"/>
  <c r="AF225" i="20"/>
  <c r="AE225" i="20"/>
  <c r="B225" i="20"/>
  <c r="A225" i="20"/>
  <c r="AF228" i="20"/>
  <c r="AE228" i="20"/>
  <c r="B228" i="20"/>
  <c r="A228" i="20"/>
  <c r="AF231" i="20"/>
  <c r="AE231" i="20"/>
  <c r="B231" i="20"/>
  <c r="A231" i="20"/>
  <c r="AF230" i="20"/>
  <c r="AE230" i="20"/>
  <c r="B230" i="20"/>
  <c r="A230" i="20"/>
  <c r="AF229" i="20"/>
  <c r="AE229" i="20"/>
  <c r="B229" i="20"/>
  <c r="A229" i="20"/>
  <c r="AF232" i="20"/>
  <c r="AE232" i="20"/>
  <c r="B232" i="20"/>
  <c r="A232" i="20"/>
  <c r="AF236" i="20"/>
  <c r="AE236" i="20"/>
  <c r="B236" i="20"/>
  <c r="A236" i="20"/>
  <c r="AF235" i="20"/>
  <c r="AE235" i="20"/>
  <c r="B235" i="20"/>
  <c r="A235" i="20"/>
  <c r="AF234" i="20"/>
  <c r="AE234" i="20"/>
  <c r="B234" i="20"/>
  <c r="A234" i="20"/>
  <c r="AF233" i="20"/>
  <c r="AE233" i="20"/>
  <c r="B233" i="20"/>
  <c r="A233" i="20"/>
  <c r="AF245" i="20"/>
  <c r="AE245" i="20"/>
  <c r="B245" i="20"/>
  <c r="A245" i="20"/>
  <c r="AF244" i="20"/>
  <c r="AE244" i="20"/>
  <c r="B244" i="20"/>
  <c r="A244" i="20"/>
  <c r="AF243" i="20"/>
  <c r="AE243" i="20"/>
  <c r="B243" i="20"/>
  <c r="A243" i="20"/>
  <c r="AF242" i="20"/>
  <c r="AE242" i="20"/>
  <c r="B242" i="20"/>
  <c r="A242" i="20"/>
  <c r="AF241" i="20"/>
  <c r="AE241" i="20"/>
  <c r="B241" i="20"/>
  <c r="A241" i="20"/>
  <c r="AF240" i="20"/>
  <c r="AE240" i="20"/>
  <c r="B240" i="20"/>
  <c r="A240" i="20"/>
  <c r="AF239" i="20"/>
  <c r="AE239" i="20"/>
  <c r="B239" i="20"/>
  <c r="A239" i="20"/>
  <c r="AF238" i="20"/>
  <c r="AE238" i="20"/>
  <c r="B238" i="20"/>
  <c r="A238" i="20"/>
  <c r="AF237" i="20"/>
  <c r="AE237" i="20"/>
  <c r="B237" i="20"/>
  <c r="A237" i="20"/>
  <c r="AF248" i="20"/>
  <c r="AE248" i="20"/>
  <c r="B248" i="20"/>
  <c r="A248" i="20"/>
  <c r="AF247" i="20"/>
  <c r="AE247" i="20"/>
  <c r="B247" i="20"/>
  <c r="A247" i="20"/>
  <c r="AF246" i="20"/>
  <c r="AE246" i="20"/>
  <c r="B246" i="20"/>
  <c r="A246" i="20"/>
  <c r="AF250" i="20"/>
  <c r="AE250" i="20"/>
  <c r="B250" i="20"/>
  <c r="A250" i="20"/>
  <c r="AF249" i="20"/>
  <c r="AE249" i="20"/>
  <c r="B249" i="20"/>
  <c r="A249" i="20"/>
  <c r="AF252" i="20"/>
  <c r="AE252" i="20"/>
  <c r="B252" i="20"/>
  <c r="A252" i="20"/>
  <c r="AF251" i="20"/>
  <c r="AE251" i="20"/>
  <c r="B251" i="20"/>
  <c r="A251" i="20"/>
  <c r="AF254" i="20"/>
  <c r="AE254" i="20"/>
  <c r="B254" i="20"/>
  <c r="A254" i="20"/>
  <c r="AF253" i="20"/>
  <c r="AE253" i="20"/>
  <c r="B253" i="20"/>
  <c r="A253" i="20"/>
  <c r="AF256" i="20"/>
  <c r="AE256" i="20"/>
  <c r="B256" i="20"/>
  <c r="A256" i="20"/>
  <c r="AF255" i="20"/>
  <c r="AE255" i="20"/>
  <c r="B255" i="20"/>
  <c r="A255" i="20"/>
  <c r="AF262" i="20"/>
  <c r="AE262" i="20"/>
  <c r="B262" i="20"/>
  <c r="A262" i="20"/>
  <c r="AF261" i="20"/>
  <c r="AE261" i="20"/>
  <c r="B261" i="20"/>
  <c r="A261" i="20"/>
  <c r="AF260" i="20"/>
  <c r="AE260" i="20"/>
  <c r="B260" i="20"/>
  <c r="A260" i="20"/>
  <c r="AF259" i="20"/>
  <c r="AE259" i="20"/>
  <c r="B259" i="20"/>
  <c r="A259" i="20"/>
  <c r="AF258" i="20"/>
  <c r="AE258" i="20"/>
  <c r="B258" i="20"/>
  <c r="A258" i="20"/>
  <c r="AF257" i="20"/>
  <c r="AE257" i="20"/>
  <c r="B257" i="20"/>
  <c r="A257" i="20"/>
  <c r="AF263" i="20"/>
  <c r="AE263" i="20"/>
  <c r="B263" i="20"/>
  <c r="A263" i="20"/>
  <c r="AF282" i="20"/>
  <c r="AE282" i="20"/>
  <c r="B282" i="20"/>
  <c r="A282" i="20"/>
  <c r="AF281" i="20"/>
  <c r="AE281" i="20"/>
  <c r="B281" i="20"/>
  <c r="A281" i="20"/>
  <c r="AF280" i="20"/>
  <c r="AE280" i="20"/>
  <c r="B280" i="20"/>
  <c r="A280" i="20"/>
  <c r="AF279" i="20"/>
  <c r="AE279" i="20"/>
  <c r="B279" i="20"/>
  <c r="A279" i="20"/>
  <c r="AF278" i="20"/>
  <c r="AE278" i="20"/>
  <c r="B278" i="20"/>
  <c r="A278" i="20"/>
  <c r="AF277" i="20"/>
  <c r="AE277" i="20"/>
  <c r="B277" i="20"/>
  <c r="A277" i="20"/>
  <c r="AF276" i="20"/>
  <c r="AE276" i="20"/>
  <c r="B276" i="20"/>
  <c r="A276" i="20"/>
  <c r="AF275" i="20"/>
  <c r="AE275" i="20"/>
  <c r="B275" i="20"/>
  <c r="A275" i="20"/>
  <c r="AF274" i="20"/>
  <c r="AE274" i="20"/>
  <c r="B274" i="20"/>
  <c r="A274" i="20"/>
  <c r="AF273" i="20"/>
  <c r="AE273" i="20"/>
  <c r="B273" i="20"/>
  <c r="A273" i="20"/>
  <c r="AF272" i="20"/>
  <c r="AE272" i="20"/>
  <c r="B272" i="20"/>
  <c r="A272" i="20"/>
  <c r="AF271" i="20"/>
  <c r="AE271" i="20"/>
  <c r="B271" i="20"/>
  <c r="A271" i="20"/>
  <c r="AF270" i="20"/>
  <c r="AE270" i="20"/>
  <c r="B270" i="20"/>
  <c r="A270" i="20"/>
  <c r="AF269" i="20"/>
  <c r="AE269" i="20"/>
  <c r="B269" i="20"/>
  <c r="A269" i="20"/>
  <c r="AF268" i="20"/>
  <c r="AE268" i="20"/>
  <c r="B268" i="20"/>
  <c r="A268" i="20"/>
  <c r="AF267" i="20"/>
  <c r="AE267" i="20"/>
  <c r="B267" i="20"/>
  <c r="A267" i="20"/>
  <c r="AF266" i="20"/>
  <c r="AE266" i="20"/>
  <c r="B266" i="20"/>
  <c r="A266" i="20"/>
  <c r="AF265" i="20"/>
  <c r="AE265" i="20"/>
  <c r="B265" i="20"/>
  <c r="A265" i="20"/>
  <c r="AF264" i="20"/>
  <c r="AE264" i="20"/>
  <c r="B264" i="20"/>
  <c r="A264" i="20"/>
  <c r="AF286" i="20"/>
  <c r="AE286" i="20"/>
  <c r="B286" i="20"/>
  <c r="A286" i="20"/>
  <c r="AF285" i="20"/>
  <c r="AE285" i="20"/>
  <c r="B285" i="20"/>
  <c r="A285" i="20"/>
  <c r="AF284" i="20"/>
  <c r="AE284" i="20"/>
  <c r="B284" i="20"/>
  <c r="A284" i="20"/>
  <c r="AF283" i="20"/>
  <c r="AE283" i="20"/>
  <c r="B283" i="20"/>
  <c r="A283" i="20"/>
  <c r="AF288" i="20"/>
  <c r="AE288" i="20"/>
  <c r="B288" i="20"/>
  <c r="A288" i="20"/>
  <c r="AF287" i="20"/>
  <c r="AE287" i="20"/>
  <c r="B287" i="20"/>
  <c r="A287" i="20"/>
  <c r="AF289" i="20"/>
  <c r="AE289" i="20"/>
  <c r="B289" i="20"/>
  <c r="A289" i="20"/>
  <c r="AF290" i="20"/>
  <c r="AE290" i="20"/>
  <c r="B290" i="20"/>
  <c r="A290" i="20"/>
  <c r="AF297" i="20"/>
  <c r="AE297" i="20"/>
  <c r="B297" i="20"/>
  <c r="A297" i="20"/>
  <c r="AF296" i="20"/>
  <c r="AE296" i="20"/>
  <c r="B296" i="20"/>
  <c r="A296" i="20"/>
  <c r="AF295" i="20"/>
  <c r="AE295" i="20"/>
  <c r="B295" i="20"/>
  <c r="A295" i="20"/>
  <c r="AF294" i="20"/>
  <c r="AE294" i="20"/>
  <c r="B294" i="20"/>
  <c r="A294" i="20"/>
  <c r="AF293" i="20"/>
  <c r="AE293" i="20"/>
  <c r="B293" i="20"/>
  <c r="A293" i="20"/>
  <c r="AF292" i="20"/>
  <c r="AE292" i="20"/>
  <c r="B292" i="20"/>
  <c r="A292" i="20"/>
  <c r="AF291" i="20"/>
  <c r="AE291" i="20"/>
  <c r="B291" i="20"/>
  <c r="A291" i="20"/>
  <c r="AF303" i="20"/>
  <c r="AE303" i="20"/>
  <c r="B303" i="20"/>
  <c r="A303" i="20"/>
  <c r="AF302" i="20"/>
  <c r="AE302" i="20"/>
  <c r="B302" i="20"/>
  <c r="A302" i="20"/>
  <c r="AF301" i="20"/>
  <c r="AE301" i="20"/>
  <c r="B301" i="20"/>
  <c r="A301" i="20"/>
  <c r="AF300" i="20"/>
  <c r="AE300" i="20"/>
  <c r="B300" i="20"/>
  <c r="A300" i="20"/>
  <c r="AF299" i="20"/>
  <c r="AE299" i="20"/>
  <c r="B299" i="20"/>
  <c r="A299" i="20"/>
  <c r="AF298" i="20"/>
  <c r="AE298" i="20"/>
  <c r="B298" i="20"/>
  <c r="A298" i="20"/>
  <c r="AF309" i="20"/>
  <c r="AE309" i="20"/>
  <c r="B309" i="20"/>
  <c r="A309" i="20"/>
  <c r="AF308" i="20"/>
  <c r="AE308" i="20"/>
  <c r="B308" i="20"/>
  <c r="A308" i="20"/>
  <c r="AF307" i="20"/>
  <c r="AE307" i="20"/>
  <c r="B307" i="20"/>
  <c r="A307" i="20"/>
  <c r="AF306" i="20"/>
  <c r="AE306" i="20"/>
  <c r="B306" i="20"/>
  <c r="A306" i="20"/>
  <c r="AF305" i="20"/>
  <c r="AE305" i="20"/>
  <c r="B305" i="20"/>
  <c r="A305" i="20"/>
  <c r="AF304" i="20"/>
  <c r="AE304" i="20"/>
  <c r="B304" i="20"/>
  <c r="A304" i="20"/>
  <c r="AF310" i="20"/>
  <c r="AE310" i="20"/>
  <c r="B310" i="20"/>
  <c r="A310" i="20"/>
  <c r="AF311" i="20"/>
  <c r="AE311" i="20"/>
  <c r="B311" i="20"/>
  <c r="A311" i="20"/>
  <c r="AF312" i="20"/>
  <c r="AE312" i="20"/>
  <c r="B312" i="20"/>
  <c r="A312" i="20"/>
  <c r="AF315" i="20"/>
  <c r="AE315" i="20"/>
  <c r="B315" i="20"/>
  <c r="A315" i="20"/>
  <c r="AF314" i="20"/>
  <c r="AE314" i="20"/>
  <c r="B314" i="20"/>
  <c r="A314" i="20"/>
  <c r="AF313" i="20"/>
  <c r="AE313" i="20"/>
  <c r="B313" i="20"/>
  <c r="A313" i="20"/>
  <c r="AF317" i="20"/>
  <c r="AE317" i="20"/>
  <c r="B317" i="20"/>
  <c r="A317" i="20"/>
  <c r="AF316" i="20"/>
  <c r="AE316" i="20"/>
  <c r="B316" i="20"/>
  <c r="A316" i="20"/>
  <c r="AF318" i="20"/>
  <c r="AE318" i="20"/>
  <c r="B318" i="20"/>
  <c r="A318" i="20"/>
  <c r="AF319" i="20"/>
  <c r="AE319" i="20"/>
  <c r="B319" i="20"/>
  <c r="A319" i="20"/>
  <c r="AF320" i="20"/>
  <c r="AE320" i="20"/>
  <c r="B320" i="20"/>
  <c r="A320" i="20"/>
  <c r="AF321" i="20"/>
  <c r="AE321" i="20"/>
  <c r="B321" i="20"/>
  <c r="A321" i="20"/>
  <c r="AF325" i="20"/>
  <c r="AE325" i="20"/>
  <c r="B325" i="20"/>
  <c r="A325" i="20"/>
  <c r="AF324" i="20"/>
  <c r="AE324" i="20"/>
  <c r="B324" i="20"/>
  <c r="A324" i="20"/>
  <c r="AF323" i="20"/>
  <c r="AE323" i="20"/>
  <c r="B323" i="20"/>
  <c r="A323" i="20"/>
  <c r="AF322" i="20"/>
  <c r="AE322" i="20"/>
  <c r="B322" i="20"/>
  <c r="A322" i="20"/>
  <c r="AF326" i="20"/>
  <c r="AE326" i="20"/>
  <c r="B326" i="20"/>
  <c r="A326" i="20"/>
  <c r="AF327" i="20"/>
  <c r="AE327" i="20"/>
  <c r="B327" i="20"/>
  <c r="A327" i="20"/>
  <c r="AF329" i="20"/>
  <c r="AE329" i="20"/>
  <c r="B329" i="20"/>
  <c r="A329" i="20"/>
  <c r="AF328" i="20"/>
  <c r="AE328" i="20"/>
  <c r="B328" i="20"/>
  <c r="A328" i="20"/>
  <c r="AF331" i="20"/>
  <c r="AE331" i="20"/>
  <c r="B331" i="20"/>
  <c r="A331" i="20"/>
  <c r="AF330" i="20"/>
  <c r="AE330" i="20"/>
  <c r="B330" i="20"/>
  <c r="A330" i="20"/>
  <c r="AF332" i="20"/>
  <c r="AE332" i="20"/>
  <c r="B332" i="20"/>
  <c r="A332" i="20"/>
  <c r="AF333" i="20"/>
  <c r="AE333" i="20"/>
  <c r="B333" i="20"/>
  <c r="A333" i="20"/>
  <c r="AF334" i="20"/>
  <c r="AE334" i="20"/>
  <c r="B334" i="20"/>
  <c r="A334" i="20"/>
  <c r="AF336" i="20"/>
  <c r="AE336" i="20"/>
  <c r="B336" i="20"/>
  <c r="A336" i="20"/>
  <c r="AF335" i="20"/>
  <c r="AE335" i="20"/>
  <c r="B335" i="20"/>
  <c r="A335" i="20"/>
  <c r="AF337" i="20"/>
  <c r="AE337" i="20"/>
  <c r="B337" i="20"/>
  <c r="A337" i="20"/>
  <c r="AF338" i="20"/>
  <c r="AE338" i="20"/>
  <c r="B338" i="20"/>
  <c r="A338" i="20"/>
  <c r="AF340" i="20"/>
  <c r="AE340" i="20"/>
  <c r="B340" i="20"/>
  <c r="A340" i="20"/>
  <c r="AF339" i="20"/>
  <c r="AE339" i="20"/>
  <c r="B339" i="20"/>
  <c r="A339" i="20"/>
  <c r="AF341" i="20"/>
  <c r="AE341" i="20"/>
  <c r="B341" i="20"/>
  <c r="A341" i="20"/>
  <c r="AF342" i="20"/>
  <c r="AE342" i="20"/>
  <c r="B342" i="20"/>
  <c r="A342" i="20"/>
  <c r="AF348" i="20"/>
  <c r="AE348" i="20"/>
  <c r="B348" i="20"/>
  <c r="A348" i="20"/>
  <c r="AF347" i="20"/>
  <c r="AE347" i="20"/>
  <c r="B347" i="20"/>
  <c r="A347" i="20"/>
  <c r="AF346" i="20"/>
  <c r="AE346" i="20"/>
  <c r="B346" i="20"/>
  <c r="A346" i="20"/>
  <c r="AF345" i="20"/>
  <c r="AE345" i="20"/>
  <c r="B345" i="20"/>
  <c r="A345" i="20"/>
  <c r="AF344" i="20"/>
  <c r="AE344" i="20"/>
  <c r="B344" i="20"/>
  <c r="A344" i="20"/>
  <c r="AF343" i="20"/>
  <c r="AE343" i="20"/>
  <c r="B343" i="20"/>
  <c r="A343" i="20"/>
  <c r="AF358" i="20"/>
  <c r="AE358" i="20"/>
  <c r="B358" i="20"/>
  <c r="A358" i="20"/>
  <c r="AF357" i="20"/>
  <c r="AE357" i="20"/>
  <c r="B357" i="20"/>
  <c r="A357" i="20"/>
  <c r="AF356" i="20"/>
  <c r="AE356" i="20"/>
  <c r="B356" i="20"/>
  <c r="A356" i="20"/>
  <c r="AF355" i="20"/>
  <c r="AE355" i="20"/>
  <c r="B355" i="20"/>
  <c r="A355" i="20"/>
  <c r="AF354" i="20"/>
  <c r="AE354" i="20"/>
  <c r="B354" i="20"/>
  <c r="A354" i="20"/>
  <c r="AF353" i="20"/>
  <c r="AE353" i="20"/>
  <c r="B353" i="20"/>
  <c r="A353" i="20"/>
  <c r="AF352" i="20"/>
  <c r="AE352" i="20"/>
  <c r="B352" i="20"/>
  <c r="A352" i="20"/>
  <c r="AF351" i="20"/>
  <c r="AE351" i="20"/>
  <c r="B351" i="20"/>
  <c r="A351" i="20"/>
  <c r="AF350" i="20"/>
  <c r="AE350" i="20"/>
  <c r="B350" i="20"/>
  <c r="A350" i="20"/>
  <c r="AF349" i="20"/>
  <c r="AE349" i="20"/>
  <c r="B349" i="20"/>
  <c r="A349" i="20"/>
  <c r="AF362" i="20"/>
  <c r="AE362" i="20"/>
  <c r="B362" i="20"/>
  <c r="A362" i="20"/>
  <c r="AF361" i="20"/>
  <c r="AE361" i="20"/>
  <c r="B361" i="20"/>
  <c r="A361" i="20"/>
  <c r="AF360" i="20"/>
  <c r="AE360" i="20"/>
  <c r="B360" i="20"/>
  <c r="A360" i="20"/>
  <c r="AF359" i="20"/>
  <c r="AE359" i="20"/>
  <c r="B359" i="20"/>
  <c r="A359" i="20"/>
  <c r="AF369" i="20"/>
  <c r="AE369" i="20"/>
  <c r="B369" i="20"/>
  <c r="A369" i="20"/>
  <c r="AF368" i="20"/>
  <c r="AE368" i="20"/>
  <c r="B368" i="20"/>
  <c r="A368" i="20"/>
  <c r="AF367" i="20"/>
  <c r="AE367" i="20"/>
  <c r="B367" i="20"/>
  <c r="A367" i="20"/>
  <c r="AF366" i="20"/>
  <c r="AE366" i="20"/>
  <c r="B366" i="20"/>
  <c r="A366" i="20"/>
  <c r="AF365" i="20"/>
  <c r="AE365" i="20"/>
  <c r="B365" i="20"/>
  <c r="A365" i="20"/>
  <c r="AF364" i="20"/>
  <c r="AE364" i="20"/>
  <c r="B364" i="20"/>
  <c r="A364" i="20"/>
  <c r="AF363" i="20"/>
  <c r="AE363" i="20"/>
  <c r="B363" i="20"/>
  <c r="A363" i="20"/>
  <c r="AF375" i="20"/>
  <c r="AE375" i="20"/>
  <c r="B375" i="20"/>
  <c r="A375" i="20"/>
  <c r="AF374" i="20"/>
  <c r="AE374" i="20"/>
  <c r="B374" i="20"/>
  <c r="A374" i="20"/>
  <c r="AF373" i="20"/>
  <c r="AE373" i="20"/>
  <c r="B373" i="20"/>
  <c r="A373" i="20"/>
  <c r="AF372" i="20"/>
  <c r="AE372" i="20"/>
  <c r="B372" i="20"/>
  <c r="A372" i="20"/>
  <c r="AF371" i="20"/>
  <c r="AE371" i="20"/>
  <c r="B371" i="20"/>
  <c r="A371" i="20"/>
  <c r="AF370" i="20"/>
  <c r="AE370" i="20"/>
  <c r="B370" i="20"/>
  <c r="A370" i="20"/>
  <c r="AF380" i="20"/>
  <c r="AE380" i="20"/>
  <c r="B380" i="20"/>
  <c r="A380" i="20"/>
  <c r="AF379" i="20"/>
  <c r="AE379" i="20"/>
  <c r="B379" i="20"/>
  <c r="A379" i="20"/>
  <c r="AF378" i="20"/>
  <c r="AE378" i="20"/>
  <c r="B378" i="20"/>
  <c r="A378" i="20"/>
  <c r="AF377" i="20"/>
  <c r="AE377" i="20"/>
  <c r="B377" i="20"/>
  <c r="A377" i="20"/>
  <c r="AF376" i="20"/>
  <c r="AE376" i="20"/>
  <c r="B376" i="20"/>
  <c r="A376" i="20"/>
  <c r="AF385" i="20"/>
  <c r="AE385" i="20"/>
  <c r="B385" i="20"/>
  <c r="A385" i="20"/>
  <c r="AF384" i="20"/>
  <c r="AE384" i="20"/>
  <c r="B384" i="20"/>
  <c r="A384" i="20"/>
  <c r="AF383" i="20"/>
  <c r="AE383" i="20"/>
  <c r="B383" i="20"/>
  <c r="A383" i="20"/>
  <c r="AF382" i="20"/>
  <c r="AE382" i="20"/>
  <c r="B382" i="20"/>
  <c r="A382" i="20"/>
  <c r="AF381" i="20"/>
  <c r="AE381" i="20"/>
  <c r="B381" i="20"/>
  <c r="A381" i="20"/>
  <c r="AF388" i="20"/>
  <c r="AE388" i="20"/>
  <c r="B388" i="20"/>
  <c r="A388" i="20"/>
  <c r="AF387" i="20"/>
  <c r="AE387" i="20"/>
  <c r="B387" i="20"/>
  <c r="A387" i="20"/>
  <c r="AF386" i="20"/>
  <c r="AE386" i="20"/>
  <c r="B386" i="20"/>
  <c r="A386"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C15" i="36"/>
  <c r="B15" i="36"/>
  <c r="M14" i="36"/>
  <c r="K14" i="36"/>
  <c r="J14" i="36"/>
  <c r="I14" i="36"/>
  <c r="H14" i="36"/>
  <c r="G14" i="36"/>
  <c r="F14" i="36"/>
  <c r="E14" i="36"/>
  <c r="D14" i="36"/>
  <c r="C14" i="36"/>
  <c r="B14" i="36"/>
  <c r="M13" i="36"/>
  <c r="K13" i="36"/>
  <c r="J13" i="36"/>
  <c r="I13" i="36"/>
  <c r="H13" i="36"/>
  <c r="G13" i="36"/>
  <c r="F13" i="36"/>
  <c r="E13" i="36"/>
  <c r="D13" i="36"/>
  <c r="C13" i="36"/>
  <c r="B13" i="36"/>
  <c r="M12" i="36"/>
  <c r="K12" i="36"/>
  <c r="J12" i="36"/>
  <c r="I12" i="36"/>
  <c r="H12" i="36"/>
  <c r="G12" i="36"/>
  <c r="F12" i="36"/>
  <c r="E12" i="36"/>
  <c r="D12" i="36"/>
  <c r="C12" i="36"/>
  <c r="B12" i="36"/>
  <c r="M11" i="36"/>
  <c r="K11" i="36"/>
  <c r="J11" i="36"/>
  <c r="I11" i="36"/>
  <c r="H11" i="36"/>
  <c r="G11" i="36"/>
  <c r="F11" i="36"/>
  <c r="E11" i="36"/>
  <c r="D11" i="36"/>
  <c r="C11" i="36"/>
  <c r="B11" i="36"/>
  <c r="M10" i="36"/>
  <c r="K10" i="36"/>
  <c r="J10" i="36"/>
  <c r="I10" i="36"/>
  <c r="H10" i="36"/>
  <c r="G10" i="36"/>
  <c r="F10" i="36"/>
  <c r="E10" i="36"/>
  <c r="D10" i="36"/>
  <c r="C10" i="36"/>
  <c r="B10" i="36"/>
  <c r="M9" i="36"/>
  <c r="K9" i="36"/>
  <c r="J9" i="36"/>
  <c r="I9" i="36"/>
  <c r="H9" i="36"/>
  <c r="G9" i="36"/>
  <c r="F9" i="36"/>
  <c r="E9" i="36"/>
  <c r="D9" i="36"/>
  <c r="C9" i="36"/>
  <c r="B9" i="36"/>
  <c r="M8" i="36"/>
  <c r="K8" i="36"/>
  <c r="J8" i="36"/>
  <c r="I8" i="36"/>
  <c r="H8" i="36"/>
  <c r="G8" i="36"/>
  <c r="F8" i="36"/>
  <c r="E8" i="36"/>
  <c r="D8" i="36"/>
  <c r="C8" i="36"/>
  <c r="B8" i="36"/>
  <c r="M7" i="36"/>
  <c r="K7" i="36"/>
  <c r="J7" i="36"/>
  <c r="I7" i="36"/>
  <c r="H7" i="36"/>
  <c r="G7" i="36"/>
  <c r="F7" i="36"/>
  <c r="E7" i="36"/>
  <c r="D7" i="36"/>
  <c r="C7" i="36"/>
  <c r="B7" i="36"/>
  <c r="M6" i="36"/>
  <c r="K6" i="36"/>
  <c r="J6" i="36"/>
  <c r="I6" i="36"/>
  <c r="G6" i="36"/>
  <c r="F6" i="36"/>
  <c r="E6" i="36"/>
  <c r="D6" i="36"/>
  <c r="C6" i="36"/>
  <c r="B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49" i="19"/>
  <c r="X49" i="19"/>
  <c r="V49" i="19"/>
  <c r="T49" i="19" s="1"/>
  <c r="Y48" i="19"/>
  <c r="X48" i="19"/>
  <c r="V48" i="19"/>
  <c r="T48" i="19" s="1"/>
  <c r="Y47" i="19"/>
  <c r="X47" i="19"/>
  <c r="V47" i="19"/>
  <c r="T47" i="19" s="1"/>
  <c r="Y46" i="19"/>
  <c r="X46" i="19"/>
  <c r="V46" i="19"/>
  <c r="T46" i="19" s="1"/>
  <c r="Y45" i="19"/>
  <c r="X45" i="19"/>
  <c r="V45" i="19"/>
  <c r="T45" i="19" s="1"/>
  <c r="Y44" i="19"/>
  <c r="X44" i="19"/>
  <c r="V44" i="19"/>
  <c r="T44" i="19" s="1"/>
  <c r="Y43" i="19"/>
  <c r="X43" i="19"/>
  <c r="V43" i="19"/>
  <c r="T43" i="19" s="1"/>
  <c r="Y42" i="19"/>
  <c r="X42" i="19"/>
  <c r="V42" i="19"/>
  <c r="T42" i="19" s="1"/>
  <c r="Y41" i="19"/>
  <c r="X41" i="19"/>
  <c r="V41" i="19"/>
  <c r="T41" i="19" s="1"/>
  <c r="Y40" i="19"/>
  <c r="X40" i="19"/>
  <c r="V40" i="19"/>
  <c r="T40" i="19" s="1"/>
  <c r="Y39" i="19"/>
  <c r="X39" i="19"/>
  <c r="V39" i="19"/>
  <c r="T39" i="19" s="1"/>
  <c r="Y38" i="19"/>
  <c r="X38" i="19"/>
  <c r="V38" i="19"/>
  <c r="T38" i="19" s="1"/>
  <c r="Y37" i="19"/>
  <c r="X37" i="19"/>
  <c r="V37" i="19"/>
  <c r="T37" i="19" s="1"/>
  <c r="Y36" i="19"/>
  <c r="X36" i="19"/>
  <c r="V36" i="19"/>
  <c r="T36" i="19" s="1"/>
  <c r="Y35" i="19"/>
  <c r="X35" i="19"/>
  <c r="V35" i="19"/>
  <c r="T35" i="19" s="1"/>
  <c r="Y34" i="19"/>
  <c r="X34" i="19"/>
  <c r="V34" i="19"/>
  <c r="T34"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24" i="19"/>
  <c r="X24" i="19"/>
  <c r="V24" i="19"/>
  <c r="T24" i="19" s="1"/>
  <c r="Y23" i="19"/>
  <c r="X23" i="19"/>
  <c r="V23" i="19"/>
  <c r="T23" i="19" s="1"/>
  <c r="Y22" i="19"/>
  <c r="X22" i="19"/>
  <c r="V22" i="19"/>
  <c r="T22" i="19" s="1"/>
  <c r="Y21" i="19"/>
  <c r="X21" i="19"/>
  <c r="V21" i="19"/>
  <c r="T21" i="19" s="1"/>
  <c r="Y20" i="19"/>
  <c r="X20" i="19"/>
  <c r="V20" i="19"/>
  <c r="T20" i="19" s="1"/>
  <c r="Y19" i="19"/>
  <c r="X19" i="19"/>
  <c r="V19" i="19"/>
  <c r="T19" i="19" s="1"/>
  <c r="Y18" i="19"/>
  <c r="X18" i="19"/>
  <c r="V18" i="19"/>
  <c r="T18" i="19" s="1"/>
  <c r="Y17" i="19"/>
  <c r="X17" i="19"/>
  <c r="V17" i="19"/>
  <c r="T17" i="19" s="1"/>
  <c r="Y16" i="19"/>
  <c r="X16" i="19"/>
  <c r="V16" i="19"/>
  <c r="T16" i="19" s="1"/>
  <c r="Y15" i="19"/>
  <c r="X15" i="19"/>
  <c r="V15" i="19"/>
  <c r="T15" i="19" s="1"/>
  <c r="Y14" i="19"/>
  <c r="X14" i="19"/>
  <c r="V14" i="19"/>
  <c r="T14" i="19" s="1"/>
  <c r="Y13" i="19"/>
  <c r="X13" i="19"/>
  <c r="V13" i="19"/>
  <c r="T13" i="19" s="1"/>
  <c r="Y12" i="19"/>
  <c r="X12" i="19"/>
  <c r="V12" i="19"/>
  <c r="T12" i="19" s="1"/>
  <c r="Y11" i="19"/>
  <c r="X11" i="19"/>
  <c r="V11" i="19"/>
  <c r="T11" i="19" s="1"/>
  <c r="Y10" i="19"/>
  <c r="X10" i="19"/>
  <c r="V10" i="19"/>
  <c r="T10" i="19" s="1"/>
  <c r="Y9" i="19"/>
  <c r="X9" i="19"/>
  <c r="V9" i="19"/>
  <c r="T9" i="19" s="1"/>
  <c r="Y8" i="19"/>
  <c r="X8" i="19"/>
  <c r="V8" i="19"/>
  <c r="T8" i="19" s="1"/>
  <c r="Y7" i="19"/>
  <c r="X7" i="19"/>
  <c r="V7" i="19"/>
  <c r="T7" i="19" s="1"/>
  <c r="Y6" i="19"/>
  <c r="X6" i="19"/>
  <c r="V6" i="19"/>
  <c r="T6" i="19" s="1"/>
  <c r="Y137" i="19"/>
  <c r="X137" i="19"/>
  <c r="V137" i="19"/>
  <c r="T137" i="19" s="1"/>
  <c r="Y136" i="19"/>
  <c r="X136" i="19"/>
  <c r="V136" i="19"/>
  <c r="T136" i="19" s="1"/>
  <c r="Y135" i="19"/>
  <c r="X135" i="19"/>
  <c r="V135" i="19"/>
  <c r="T135" i="19" s="1"/>
  <c r="Y134" i="19"/>
  <c r="X134" i="19"/>
  <c r="V134" i="19"/>
  <c r="T134" i="19" s="1"/>
  <c r="Y133" i="19"/>
  <c r="X133" i="19"/>
  <c r="V133" i="19"/>
  <c r="T133" i="19" s="1"/>
  <c r="Y132" i="19"/>
  <c r="X132" i="19"/>
  <c r="V132" i="19"/>
  <c r="T132" i="19" s="1"/>
  <c r="Y131" i="19"/>
  <c r="X131" i="19"/>
  <c r="V131" i="19"/>
  <c r="T131" i="19" s="1"/>
  <c r="Y130" i="19"/>
  <c r="X130" i="19"/>
  <c r="V130" i="19"/>
  <c r="T130" i="19" s="1"/>
  <c r="Y129" i="19"/>
  <c r="X129" i="19"/>
  <c r="V129" i="19"/>
  <c r="T129" i="19" s="1"/>
  <c r="Y128" i="19"/>
  <c r="X128" i="19"/>
  <c r="V128" i="19"/>
  <c r="T128" i="19" s="1"/>
  <c r="Y127" i="19"/>
  <c r="X127" i="19"/>
  <c r="V127" i="19"/>
  <c r="T127" i="19" s="1"/>
  <c r="Y126" i="19"/>
  <c r="X126" i="19"/>
  <c r="V126" i="19"/>
  <c r="T126" i="19" s="1"/>
  <c r="Y125" i="19"/>
  <c r="X125" i="19"/>
  <c r="V125" i="19"/>
  <c r="T125" i="19" s="1"/>
  <c r="Y124" i="19"/>
  <c r="X124" i="19"/>
  <c r="V124" i="19"/>
  <c r="T124" i="19" s="1"/>
  <c r="Y123" i="19"/>
  <c r="X123" i="19"/>
  <c r="V123" i="19"/>
  <c r="T123" i="19" s="1"/>
  <c r="Y122" i="19"/>
  <c r="X122" i="19"/>
  <c r="V122" i="19"/>
  <c r="T122" i="19" s="1"/>
  <c r="Y121" i="19"/>
  <c r="X121" i="19"/>
  <c r="V121" i="19"/>
  <c r="T121" i="19" s="1"/>
  <c r="Y120" i="19"/>
  <c r="X120" i="19"/>
  <c r="V120" i="19"/>
  <c r="T120" i="19" s="1"/>
  <c r="Y119" i="19"/>
  <c r="X119" i="19"/>
  <c r="V119" i="19"/>
  <c r="T119" i="19" s="1"/>
  <c r="Y118" i="19"/>
  <c r="X118" i="19"/>
  <c r="V118" i="19"/>
  <c r="T118" i="19" s="1"/>
  <c r="Y117" i="19"/>
  <c r="X117" i="19"/>
  <c r="V117" i="19"/>
  <c r="T117" i="19" s="1"/>
  <c r="Y116" i="19"/>
  <c r="X116" i="19"/>
  <c r="V116" i="19"/>
  <c r="T116" i="19" s="1"/>
  <c r="Y115" i="19"/>
  <c r="X115" i="19"/>
  <c r="V115" i="19"/>
  <c r="T115" i="19" s="1"/>
  <c r="Y114" i="19"/>
  <c r="X114" i="19"/>
  <c r="V114" i="19"/>
  <c r="T114" i="19" s="1"/>
  <c r="Y113" i="19"/>
  <c r="X113" i="19"/>
  <c r="V113" i="19"/>
  <c r="T113" i="19" s="1"/>
  <c r="Y112" i="19"/>
  <c r="X112" i="19"/>
  <c r="V112" i="19"/>
  <c r="T112" i="19" s="1"/>
  <c r="Y111" i="19"/>
  <c r="X111" i="19"/>
  <c r="V111" i="19"/>
  <c r="T111" i="19" s="1"/>
  <c r="Y110" i="19"/>
  <c r="X110" i="19"/>
  <c r="V110" i="19"/>
  <c r="T110" i="19" s="1"/>
  <c r="Y109" i="19"/>
  <c r="X109" i="19"/>
  <c r="V109" i="19"/>
  <c r="T109"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102" i="19"/>
  <c r="X102" i="19"/>
  <c r="V102" i="19"/>
  <c r="T102" i="19" s="1"/>
  <c r="Y101" i="19"/>
  <c r="X101" i="19"/>
  <c r="V101" i="19"/>
  <c r="T10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92" i="19"/>
  <c r="X92" i="19"/>
  <c r="V92" i="19"/>
  <c r="T92" i="19" s="1"/>
  <c r="Y91" i="19"/>
  <c r="X91" i="19"/>
  <c r="V91" i="19"/>
  <c r="T91" i="19" s="1"/>
  <c r="Y90" i="19"/>
  <c r="X90" i="19"/>
  <c r="V90" i="19"/>
  <c r="T90" i="19" s="1"/>
  <c r="Y89" i="19"/>
  <c r="X89" i="19"/>
  <c r="V89" i="19"/>
  <c r="T89" i="19" s="1"/>
  <c r="Y88" i="19"/>
  <c r="X88" i="19"/>
  <c r="V88" i="19"/>
  <c r="T88" i="19" s="1"/>
  <c r="Y87" i="19"/>
  <c r="X87" i="19"/>
  <c r="V87" i="19"/>
  <c r="T87" i="19" s="1"/>
  <c r="Y86" i="19"/>
  <c r="X86" i="19"/>
  <c r="V86" i="19"/>
  <c r="T86" i="19" s="1"/>
  <c r="Y85" i="19"/>
  <c r="X85" i="19"/>
  <c r="V85" i="19"/>
  <c r="T85" i="19" s="1"/>
  <c r="Y84" i="19"/>
  <c r="X84" i="19"/>
  <c r="V84" i="19"/>
  <c r="T84"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72" i="19"/>
  <c r="X72" i="19"/>
  <c r="V72" i="19"/>
  <c r="T72" i="19" s="1"/>
  <c r="Y71" i="19"/>
  <c r="X71" i="19"/>
  <c r="V71" i="19"/>
  <c r="T71" i="19" s="1"/>
  <c r="L9" i="36"/>
  <c r="Y70" i="19"/>
  <c r="X70" i="19"/>
  <c r="V70" i="19"/>
  <c r="T70" i="19" s="1"/>
  <c r="Y69" i="19"/>
  <c r="X69" i="19"/>
  <c r="V69" i="19"/>
  <c r="T69" i="19" s="1"/>
  <c r="Y68" i="19"/>
  <c r="X68" i="19"/>
  <c r="V68" i="19"/>
  <c r="T68" i="19" s="1"/>
  <c r="Y67" i="19"/>
  <c r="X67" i="19"/>
  <c r="V67" i="19"/>
  <c r="T67" i="19" s="1"/>
  <c r="Y66" i="19"/>
  <c r="X66" i="19"/>
  <c r="V66" i="19"/>
  <c r="T66" i="19" s="1"/>
  <c r="Y65" i="19"/>
  <c r="X65" i="19"/>
  <c r="V65" i="19"/>
  <c r="T65" i="19" s="1"/>
  <c r="Y64" i="19"/>
  <c r="X64" i="19"/>
  <c r="V64" i="19"/>
  <c r="T64" i="19" s="1"/>
  <c r="Y63" i="19"/>
  <c r="X63" i="19"/>
  <c r="V63" i="19"/>
  <c r="T63" i="19" s="1"/>
  <c r="Y62" i="19"/>
  <c r="X62" i="19"/>
  <c r="V62" i="19"/>
  <c r="T62" i="19" s="1"/>
  <c r="Y61" i="19"/>
  <c r="X61" i="19"/>
  <c r="V61" i="19"/>
  <c r="T61" i="19" s="1"/>
  <c r="Y60" i="19"/>
  <c r="X60" i="19"/>
  <c r="V60" i="19"/>
  <c r="T60" i="19" s="1"/>
  <c r="Y59" i="19"/>
  <c r="X59" i="19"/>
  <c r="V59" i="19"/>
  <c r="T59" i="19" s="1"/>
  <c r="Y58" i="19"/>
  <c r="X58" i="19"/>
  <c r="V58" i="19"/>
  <c r="T58" i="19" s="1"/>
  <c r="Y57" i="19"/>
  <c r="X57" i="19"/>
  <c r="V57" i="19"/>
  <c r="T57" i="19" s="1"/>
  <c r="Y56" i="19"/>
  <c r="X56" i="19"/>
  <c r="V56" i="19"/>
  <c r="T56" i="19" s="1"/>
  <c r="L10" i="36"/>
  <c r="Y55" i="19"/>
  <c r="X55" i="19"/>
  <c r="V55" i="19"/>
  <c r="T55" i="19" s="1"/>
  <c r="Y54" i="19"/>
  <c r="X54" i="19"/>
  <c r="V54" i="19"/>
  <c r="T54" i="19" s="1"/>
  <c r="Y53" i="19"/>
  <c r="X53" i="19"/>
  <c r="V53" i="19"/>
  <c r="T53" i="19" s="1"/>
  <c r="Y52" i="19"/>
  <c r="X52" i="19"/>
  <c r="V52" i="19"/>
  <c r="T52" i="19" s="1"/>
  <c r="Y51" i="19"/>
  <c r="X51" i="19"/>
  <c r="V51" i="19"/>
  <c r="T51" i="19" s="1"/>
  <c r="Y138" i="19"/>
  <c r="X138" i="19"/>
  <c r="V138" i="19"/>
  <c r="T138" i="19" s="1"/>
  <c r="A2" i="83"/>
  <c r="AU33" i="40"/>
  <c r="AT33" i="40"/>
  <c r="AS33" i="40"/>
  <c r="AR33" i="40"/>
  <c r="AP33" i="40"/>
  <c r="AO33" i="40"/>
  <c r="AN33" i="40"/>
  <c r="AM33" i="40"/>
  <c r="AL33" i="40"/>
  <c r="AU32" i="40"/>
  <c r="AT32" i="40"/>
  <c r="AS32" i="40"/>
  <c r="AR32" i="40"/>
  <c r="M26" i="40" s="1"/>
  <c r="Z11" i="72" s="1"/>
  <c r="AP32" i="40"/>
  <c r="AO32" i="40"/>
  <c r="AN32" i="40"/>
  <c r="AM32" i="40"/>
  <c r="AL32" i="40"/>
  <c r="AU31" i="40"/>
  <c r="AT31" i="40"/>
  <c r="AS31" i="40"/>
  <c r="AR31" i="40"/>
  <c r="M25" i="40" s="1"/>
  <c r="Z10" i="72" s="1"/>
  <c r="AP31" i="40"/>
  <c r="AO31" i="40"/>
  <c r="AN31" i="40"/>
  <c r="AM31" i="40"/>
  <c r="AL31" i="40"/>
  <c r="AU30" i="40"/>
  <c r="AT30" i="40"/>
  <c r="AS30" i="40"/>
  <c r="AR30" i="40"/>
  <c r="M24" i="40" s="1"/>
  <c r="Z9" i="72" s="1"/>
  <c r="AP30" i="40"/>
  <c r="AO30" i="40"/>
  <c r="AN30" i="40"/>
  <c r="AM30" i="40"/>
  <c r="AL30" i="40"/>
  <c r="AU29" i="40"/>
  <c r="AT29" i="40"/>
  <c r="AS29" i="40"/>
  <c r="AR29" i="40"/>
  <c r="AP29" i="40"/>
  <c r="AO29" i="40"/>
  <c r="AN29" i="40"/>
  <c r="AM29" i="40"/>
  <c r="AL29" i="40"/>
  <c r="AU28" i="40"/>
  <c r="AT28" i="40"/>
  <c r="AS28" i="40"/>
  <c r="AR28" i="40"/>
  <c r="M22" i="40" s="1"/>
  <c r="Z7" i="72" s="1"/>
  <c r="AP28" i="40"/>
  <c r="AO28" i="40"/>
  <c r="AN28" i="40"/>
  <c r="AM28" i="40"/>
  <c r="AL28" i="40"/>
  <c r="AU27" i="40"/>
  <c r="AT27" i="40"/>
  <c r="AS27" i="40"/>
  <c r="AR27" i="40"/>
  <c r="M21" i="40" s="1"/>
  <c r="Z6" i="72" s="1"/>
  <c r="AP27" i="40"/>
  <c r="AO27" i="40"/>
  <c r="AN27" i="40"/>
  <c r="AM27" i="40"/>
  <c r="AL27" i="40"/>
  <c r="M27" i="40"/>
  <c r="Z12" i="72" s="1"/>
  <c r="L27" i="40"/>
  <c r="Y12" i="72" s="1"/>
  <c r="K27" i="40"/>
  <c r="X12" i="72" s="1"/>
  <c r="AU26" i="40"/>
  <c r="AT26" i="40"/>
  <c r="AS26" i="40"/>
  <c r="AR26" i="40"/>
  <c r="M20" i="40" s="1"/>
  <c r="Z5" i="72" s="1"/>
  <c r="AP26" i="40"/>
  <c r="AO26" i="40"/>
  <c r="AN26" i="40"/>
  <c r="AM26" i="40"/>
  <c r="AL26" i="40"/>
  <c r="L26" i="40"/>
  <c r="Y11" i="72" s="1"/>
  <c r="K26" i="40"/>
  <c r="X11" i="72" s="1"/>
  <c r="AU25" i="40"/>
  <c r="AT25" i="40"/>
  <c r="AS25" i="40"/>
  <c r="AR25" i="40"/>
  <c r="M19" i="40" s="1"/>
  <c r="Z4" i="72" s="1"/>
  <c r="AP25" i="40"/>
  <c r="AO25" i="40"/>
  <c r="AN25" i="40"/>
  <c r="AM25" i="40"/>
  <c r="AL25" i="40"/>
  <c r="L25" i="40"/>
  <c r="Y10" i="72" s="1"/>
  <c r="K25" i="40"/>
  <c r="X10" i="72" s="1"/>
  <c r="AU24" i="40"/>
  <c r="AT24" i="40"/>
  <c r="AS24" i="40"/>
  <c r="AR24" i="40"/>
  <c r="M18" i="40" s="1"/>
  <c r="AP24" i="40"/>
  <c r="AO24" i="40"/>
  <c r="AN24" i="40"/>
  <c r="AM24" i="40"/>
  <c r="AL24" i="40"/>
  <c r="L24" i="40"/>
  <c r="Y9" i="72" s="1"/>
  <c r="K24" i="40"/>
  <c r="X9" i="72" s="1"/>
  <c r="L23" i="40"/>
  <c r="Y8" i="72" s="1"/>
  <c r="K23" i="40"/>
  <c r="X8" i="72" s="1"/>
  <c r="L22" i="40"/>
  <c r="Y7" i="72" s="1"/>
  <c r="K22" i="40"/>
  <c r="X7" i="72" s="1"/>
  <c r="L21" i="40"/>
  <c r="Y6" i="72" s="1"/>
  <c r="K21" i="40"/>
  <c r="X6" i="72" s="1"/>
  <c r="L20" i="40"/>
  <c r="Y5" i="72" s="1"/>
  <c r="K20" i="40"/>
  <c r="X5" i="72" s="1"/>
  <c r="L19" i="40"/>
  <c r="Y4" i="72" s="1"/>
  <c r="K19" i="40"/>
  <c r="X4" i="72" s="1"/>
  <c r="L18" i="40"/>
  <c r="K18" i="40"/>
  <c r="AP17" i="40"/>
  <c r="AP16" i="40"/>
  <c r="AO16" i="40"/>
  <c r="AN16" i="40"/>
  <c r="AM16" i="40"/>
  <c r="AL16" i="40"/>
  <c r="AP15" i="40"/>
  <c r="AO15" i="40"/>
  <c r="AN15" i="40"/>
  <c r="AM15" i="40"/>
  <c r="AL15" i="40"/>
  <c r="AP14" i="40"/>
  <c r="AO14" i="40"/>
  <c r="AN14" i="40"/>
  <c r="AM14" i="40"/>
  <c r="AL14" i="40"/>
  <c r="N14" i="40"/>
  <c r="AP13" i="40"/>
  <c r="AO13" i="40"/>
  <c r="AN13" i="40"/>
  <c r="AM13" i="40"/>
  <c r="AL13" i="40"/>
  <c r="AP12" i="40"/>
  <c r="AO12" i="40"/>
  <c r="AN12" i="40"/>
  <c r="AM12" i="40"/>
  <c r="AL12" i="40"/>
  <c r="AP11" i="40"/>
  <c r="AO11" i="40"/>
  <c r="AN11" i="40"/>
  <c r="AM11" i="40"/>
  <c r="AL11" i="40"/>
  <c r="AP10" i="40"/>
  <c r="AO10" i="40"/>
  <c r="AN10" i="40"/>
  <c r="AM10" i="40"/>
  <c r="AL10" i="40"/>
  <c r="AP9" i="40"/>
  <c r="AO9" i="40"/>
  <c r="AN9" i="40"/>
  <c r="AM9" i="40"/>
  <c r="AL9" i="40"/>
  <c r="AP8" i="40"/>
  <c r="AO8" i="40"/>
  <c r="AN8" i="40"/>
  <c r="AM8" i="40"/>
  <c r="AL8" i="40"/>
  <c r="AP7" i="40"/>
  <c r="AO7" i="40"/>
  <c r="AN7" i="40"/>
  <c r="AM7" i="40"/>
  <c r="AL7" i="40"/>
  <c r="C5" i="40"/>
  <c r="B4" i="80"/>
  <c r="B3" i="78"/>
  <c r="A3" i="33"/>
  <c r="D185" i="75"/>
  <c r="D184" i="75"/>
  <c r="D183" i="75"/>
  <c r="D182" i="75"/>
  <c r="D181" i="75"/>
  <c r="D180" i="75"/>
  <c r="D179" i="75"/>
  <c r="D178" i="75"/>
  <c r="D177" i="75"/>
  <c r="D176" i="75"/>
  <c r="D175" i="75"/>
  <c r="D174" i="75"/>
  <c r="D173" i="75"/>
  <c r="D172" i="75"/>
  <c r="D171" i="75"/>
  <c r="D170" i="75"/>
  <c r="D169" i="75"/>
  <c r="D168" i="75"/>
  <c r="D167" i="75"/>
  <c r="D166" i="75"/>
  <c r="D165" i="75"/>
  <c r="D164" i="75"/>
  <c r="D163" i="75"/>
  <c r="D162" i="75"/>
  <c r="D161" i="75"/>
  <c r="D160" i="75"/>
  <c r="D159" i="75"/>
  <c r="D158" i="75"/>
  <c r="D157" i="75"/>
  <c r="D156" i="75"/>
  <c r="D155" i="75"/>
  <c r="D154" i="75"/>
  <c r="D153" i="75"/>
  <c r="D152" i="75"/>
  <c r="D151" i="75"/>
  <c r="D150" i="75"/>
  <c r="D149" i="75"/>
  <c r="D148" i="75"/>
  <c r="D147" i="75"/>
  <c r="D146" i="75"/>
  <c r="D145" i="75"/>
  <c r="D144" i="75"/>
  <c r="D143" i="75"/>
  <c r="D142" i="75"/>
  <c r="D141" i="75"/>
  <c r="D140" i="75"/>
  <c r="D139" i="75"/>
  <c r="D138" i="75"/>
  <c r="D137" i="75"/>
  <c r="D136" i="75"/>
  <c r="D135" i="75"/>
  <c r="D134" i="75"/>
  <c r="D133" i="75"/>
  <c r="D132" i="75"/>
  <c r="D131" i="75"/>
  <c r="D130" i="75"/>
  <c r="D129" i="75"/>
  <c r="D128" i="75"/>
  <c r="D127" i="75"/>
  <c r="D126" i="75"/>
  <c r="D125" i="75"/>
  <c r="D124" i="75"/>
  <c r="D123" i="75"/>
  <c r="D122" i="75"/>
  <c r="D121" i="75"/>
  <c r="D120" i="75"/>
  <c r="D119" i="75"/>
  <c r="D118" i="75"/>
  <c r="D117" i="75"/>
  <c r="D116" i="75"/>
  <c r="D115" i="75"/>
  <c r="D114" i="75"/>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4" i="75"/>
  <c r="D23" i="75"/>
  <c r="D22" i="75"/>
  <c r="D21" i="75"/>
  <c r="D20" i="75"/>
  <c r="D19" i="75"/>
  <c r="D18" i="75"/>
  <c r="D17" i="75"/>
  <c r="D16" i="75"/>
  <c r="D15" i="75"/>
  <c r="D14" i="75"/>
  <c r="D13" i="75"/>
  <c r="D12" i="75"/>
  <c r="D11" i="75"/>
  <c r="D10" i="75"/>
  <c r="D9" i="75"/>
  <c r="D8" i="75"/>
  <c r="D7" i="75"/>
  <c r="D6" i="75"/>
  <c r="D5" i="75"/>
  <c r="D4" i="75"/>
  <c r="D3" i="75"/>
  <c r="D2" i="75"/>
  <c r="H61" i="74"/>
  <c r="D61" i="74"/>
  <c r="H60" i="74"/>
  <c r="D60" i="74"/>
  <c r="H59" i="74"/>
  <c r="D59" i="74"/>
  <c r="H58" i="74"/>
  <c r="D58" i="74"/>
  <c r="H57" i="74"/>
  <c r="D57" i="74"/>
  <c r="H56" i="74"/>
  <c r="D56" i="74"/>
  <c r="H55" i="74"/>
  <c r="D55" i="74"/>
  <c r="H54" i="74"/>
  <c r="D54" i="74"/>
  <c r="H53" i="74"/>
  <c r="D53" i="74"/>
  <c r="H52" i="74"/>
  <c r="D52" i="74"/>
  <c r="H51" i="74"/>
  <c r="D51" i="74"/>
  <c r="H50" i="74"/>
  <c r="D50" i="74"/>
  <c r="H49" i="74"/>
  <c r="D49" i="74"/>
  <c r="H48" i="74"/>
  <c r="D48" i="74"/>
  <c r="H47" i="74"/>
  <c r="D47" i="74"/>
  <c r="H46" i="74"/>
  <c r="D46" i="74"/>
  <c r="H45" i="74"/>
  <c r="D45" i="74"/>
  <c r="H44" i="74"/>
  <c r="D44" i="74"/>
  <c r="H43" i="74"/>
  <c r="D43" i="74"/>
  <c r="H42" i="74"/>
  <c r="D42" i="74"/>
  <c r="H41" i="74"/>
  <c r="D41" i="74"/>
  <c r="H40" i="74"/>
  <c r="D40" i="74"/>
  <c r="H39" i="74"/>
  <c r="D39" i="74"/>
  <c r="H38" i="74"/>
  <c r="D38" i="74"/>
  <c r="H13" i="74"/>
  <c r="D13" i="74"/>
  <c r="H12" i="74"/>
  <c r="D12" i="74"/>
  <c r="H11" i="74"/>
  <c r="D11" i="74"/>
  <c r="H10" i="74"/>
  <c r="D10" i="74"/>
  <c r="H9" i="74"/>
  <c r="D9" i="74"/>
  <c r="H8" i="74"/>
  <c r="D8" i="74"/>
  <c r="H7" i="74"/>
  <c r="D7" i="74"/>
  <c r="H6" i="74"/>
  <c r="D6" i="74"/>
  <c r="H5" i="74"/>
  <c r="D5" i="74"/>
  <c r="H4" i="74"/>
  <c r="D4" i="74"/>
  <c r="H3" i="74"/>
  <c r="D3" i="74"/>
  <c r="H2" i="74"/>
  <c r="D2" i="74"/>
  <c r="H25" i="74"/>
  <c r="D25" i="74"/>
  <c r="H24" i="74"/>
  <c r="D24" i="74"/>
  <c r="H23" i="74"/>
  <c r="D23" i="74"/>
  <c r="H22" i="74"/>
  <c r="D22" i="74"/>
  <c r="H21" i="74"/>
  <c r="D21" i="74"/>
  <c r="H20" i="74"/>
  <c r="D20" i="74"/>
  <c r="H19" i="74"/>
  <c r="D19" i="74"/>
  <c r="H18" i="74"/>
  <c r="D18" i="74"/>
  <c r="H17" i="74"/>
  <c r="D17" i="74"/>
  <c r="H16" i="74"/>
  <c r="D16" i="74"/>
  <c r="H15" i="74"/>
  <c r="D15" i="74"/>
  <c r="H14" i="74"/>
  <c r="D14" i="74"/>
  <c r="H37" i="74"/>
  <c r="D37" i="74"/>
  <c r="H36" i="74"/>
  <c r="D36" i="74"/>
  <c r="H35" i="74"/>
  <c r="D35" i="74"/>
  <c r="H34" i="74"/>
  <c r="D34" i="74"/>
  <c r="H33" i="74"/>
  <c r="D33" i="74"/>
  <c r="H32" i="74"/>
  <c r="D32" i="74"/>
  <c r="H31" i="74"/>
  <c r="D31" i="74"/>
  <c r="H30" i="74"/>
  <c r="D30" i="74"/>
  <c r="H29" i="74"/>
  <c r="D29" i="74"/>
  <c r="H28" i="74"/>
  <c r="D28" i="74"/>
  <c r="H27" i="74"/>
  <c r="D27" i="74"/>
  <c r="H26" i="74"/>
  <c r="D26" i="74"/>
  <c r="H73" i="74"/>
  <c r="D73" i="74"/>
  <c r="H72" i="74"/>
  <c r="D72" i="74"/>
  <c r="H71" i="74"/>
  <c r="D71" i="74"/>
  <c r="H70" i="74"/>
  <c r="D70" i="74"/>
  <c r="H69" i="74"/>
  <c r="D69" i="74"/>
  <c r="H68" i="74"/>
  <c r="D68" i="74"/>
  <c r="H67" i="74"/>
  <c r="D67" i="74"/>
  <c r="H66" i="74"/>
  <c r="D66" i="74"/>
  <c r="H65" i="74"/>
  <c r="D65" i="74"/>
  <c r="H64" i="74"/>
  <c r="D64" i="74"/>
  <c r="H63" i="74"/>
  <c r="D63" i="74"/>
  <c r="H62" i="74"/>
  <c r="D62" i="74"/>
  <c r="H85" i="74"/>
  <c r="D85" i="74"/>
  <c r="H84" i="74"/>
  <c r="D84" i="74"/>
  <c r="H83" i="74"/>
  <c r="D83" i="74"/>
  <c r="H82" i="74"/>
  <c r="D82" i="74"/>
  <c r="H81" i="74"/>
  <c r="D81" i="74"/>
  <c r="H80" i="74"/>
  <c r="D80" i="74"/>
  <c r="H79" i="74"/>
  <c r="D79" i="74"/>
  <c r="H78" i="74"/>
  <c r="D78" i="74"/>
  <c r="H77" i="74"/>
  <c r="D77" i="74"/>
  <c r="H76" i="74"/>
  <c r="D76" i="74"/>
  <c r="H75" i="74"/>
  <c r="D75" i="74"/>
  <c r="H74" i="74"/>
  <c r="D74" i="74"/>
  <c r="H97" i="74"/>
  <c r="D97" i="74"/>
  <c r="H96" i="74"/>
  <c r="D96" i="74"/>
  <c r="H95" i="74"/>
  <c r="D95" i="74"/>
  <c r="H94" i="74"/>
  <c r="D94" i="74"/>
  <c r="H93" i="74"/>
  <c r="D93" i="74"/>
  <c r="H92" i="74"/>
  <c r="D92" i="74"/>
  <c r="H91" i="74"/>
  <c r="D91" i="74"/>
  <c r="H90" i="74"/>
  <c r="D90" i="74"/>
  <c r="H89" i="74"/>
  <c r="D89" i="74"/>
  <c r="H88" i="74"/>
  <c r="D88" i="74"/>
  <c r="H87" i="74"/>
  <c r="D87" i="74"/>
  <c r="H86" i="74"/>
  <c r="D86" i="74"/>
  <c r="H109" i="74"/>
  <c r="D109" i="74"/>
  <c r="H108" i="74"/>
  <c r="D108" i="74"/>
  <c r="H107" i="74"/>
  <c r="D107" i="74"/>
  <c r="H106" i="74"/>
  <c r="D106" i="74"/>
  <c r="H105" i="74"/>
  <c r="D105" i="74"/>
  <c r="H104" i="74"/>
  <c r="D104" i="74"/>
  <c r="H103" i="74"/>
  <c r="D103" i="74"/>
  <c r="H102" i="74"/>
  <c r="D102" i="74"/>
  <c r="H101" i="74"/>
  <c r="D101" i="74"/>
  <c r="H100" i="74"/>
  <c r="D100" i="74"/>
  <c r="H99" i="74"/>
  <c r="D99" i="74"/>
  <c r="H98" i="74"/>
  <c r="D98" i="74"/>
  <c r="H121" i="74"/>
  <c r="D121" i="74"/>
  <c r="H120" i="74"/>
  <c r="D120" i="74"/>
  <c r="H119" i="74"/>
  <c r="D119" i="74"/>
  <c r="H118" i="74"/>
  <c r="D118" i="74"/>
  <c r="H117" i="74"/>
  <c r="D117" i="74"/>
  <c r="H116" i="74"/>
  <c r="D116" i="74"/>
  <c r="H115" i="74"/>
  <c r="D115" i="74"/>
  <c r="H114" i="74"/>
  <c r="D114" i="74"/>
  <c r="H113" i="74"/>
  <c r="D113" i="74"/>
  <c r="H112" i="74"/>
  <c r="D112" i="74"/>
  <c r="H111" i="74"/>
  <c r="D111" i="74"/>
  <c r="H110" i="74"/>
  <c r="D110" i="74"/>
  <c r="H133" i="74"/>
  <c r="D133" i="74"/>
  <c r="H132" i="74"/>
  <c r="D132" i="74"/>
  <c r="H131" i="74"/>
  <c r="D131" i="74"/>
  <c r="H130" i="74"/>
  <c r="D130" i="74"/>
  <c r="H129" i="74"/>
  <c r="D129" i="74"/>
  <c r="H128" i="74"/>
  <c r="D128" i="74"/>
  <c r="H127" i="74"/>
  <c r="D127" i="74"/>
  <c r="H126" i="74"/>
  <c r="D126" i="74"/>
  <c r="H125" i="74"/>
  <c r="D125" i="74"/>
  <c r="H124" i="74"/>
  <c r="D124" i="74"/>
  <c r="H123" i="74"/>
  <c r="D123" i="74"/>
  <c r="H122" i="74"/>
  <c r="D122" i="74"/>
  <c r="H145" i="74"/>
  <c r="D145" i="74"/>
  <c r="H144" i="74"/>
  <c r="D144" i="74"/>
  <c r="H143" i="74"/>
  <c r="D143" i="74"/>
  <c r="H142" i="74"/>
  <c r="D142" i="74"/>
  <c r="H141" i="74"/>
  <c r="D141" i="74"/>
  <c r="H140" i="74"/>
  <c r="D140" i="74"/>
  <c r="H139" i="74"/>
  <c r="D139" i="74"/>
  <c r="H138" i="74"/>
  <c r="D138" i="74"/>
  <c r="H137" i="74"/>
  <c r="D137" i="74"/>
  <c r="H136" i="74"/>
  <c r="D136" i="74"/>
  <c r="H135" i="74"/>
  <c r="D135" i="74"/>
  <c r="H134" i="74"/>
  <c r="D134" i="74"/>
  <c r="H157" i="74"/>
  <c r="D157" i="74"/>
  <c r="H156" i="74"/>
  <c r="D156" i="74"/>
  <c r="H155" i="74"/>
  <c r="D155" i="74"/>
  <c r="H154" i="74"/>
  <c r="D154" i="74"/>
  <c r="H153" i="74"/>
  <c r="D153" i="74"/>
  <c r="H152" i="74"/>
  <c r="D152" i="74"/>
  <c r="H151" i="74"/>
  <c r="D151" i="74"/>
  <c r="H150" i="74"/>
  <c r="D150" i="74"/>
  <c r="H149" i="74"/>
  <c r="D149" i="74"/>
  <c r="H148" i="74"/>
  <c r="D148" i="74"/>
  <c r="H147" i="74"/>
  <c r="D147" i="74"/>
  <c r="H146" i="74"/>
  <c r="D146" i="74"/>
  <c r="H169" i="74"/>
  <c r="D169" i="74"/>
  <c r="H168" i="74"/>
  <c r="D168" i="74"/>
  <c r="H167" i="74"/>
  <c r="D167" i="74"/>
  <c r="H166" i="74"/>
  <c r="D166" i="74"/>
  <c r="H165" i="74"/>
  <c r="D165" i="74"/>
  <c r="H164" i="74"/>
  <c r="D164" i="74"/>
  <c r="H163" i="74"/>
  <c r="D163" i="74"/>
  <c r="H162" i="74"/>
  <c r="D162" i="74"/>
  <c r="H161" i="74"/>
  <c r="D161" i="74"/>
  <c r="H160" i="74"/>
  <c r="D160" i="74"/>
  <c r="H159" i="74"/>
  <c r="D159" i="74"/>
  <c r="H158" i="74"/>
  <c r="D158" i="74"/>
  <c r="H181" i="74"/>
  <c r="D181" i="74"/>
  <c r="H180" i="74"/>
  <c r="D180" i="74"/>
  <c r="H179" i="74"/>
  <c r="D179" i="74"/>
  <c r="H178" i="74"/>
  <c r="D178" i="74"/>
  <c r="H177" i="74"/>
  <c r="D177" i="74"/>
  <c r="H176" i="74"/>
  <c r="D176" i="74"/>
  <c r="H175" i="74"/>
  <c r="D175" i="74"/>
  <c r="H174" i="74"/>
  <c r="D174" i="74"/>
  <c r="H173" i="74"/>
  <c r="D173" i="74"/>
  <c r="H172" i="74"/>
  <c r="D172" i="74"/>
  <c r="H171" i="74"/>
  <c r="D171" i="74"/>
  <c r="H170" i="74"/>
  <c r="D170" i="74"/>
  <c r="H193" i="74"/>
  <c r="D193" i="74"/>
  <c r="H192" i="74"/>
  <c r="D192" i="74"/>
  <c r="H191" i="74"/>
  <c r="D191" i="74"/>
  <c r="H190" i="74"/>
  <c r="D190" i="74"/>
  <c r="H189" i="74"/>
  <c r="D189" i="74"/>
  <c r="H188" i="74"/>
  <c r="D188" i="74"/>
  <c r="H187" i="74"/>
  <c r="D187" i="74"/>
  <c r="H186" i="74"/>
  <c r="D186" i="74"/>
  <c r="H185" i="74"/>
  <c r="D185" i="74"/>
  <c r="H184" i="74"/>
  <c r="D184" i="74"/>
  <c r="H183" i="74"/>
  <c r="D183" i="74"/>
  <c r="H182" i="74"/>
  <c r="D182" i="74"/>
  <c r="H205" i="74"/>
  <c r="D205" i="74"/>
  <c r="H204" i="74"/>
  <c r="D204" i="74"/>
  <c r="H203" i="74"/>
  <c r="D203" i="74"/>
  <c r="H202" i="74"/>
  <c r="D202" i="74"/>
  <c r="H201" i="74"/>
  <c r="D201" i="74"/>
  <c r="H200" i="74"/>
  <c r="D200" i="74"/>
  <c r="H199" i="74"/>
  <c r="D199" i="74"/>
  <c r="H198" i="74"/>
  <c r="D198" i="74"/>
  <c r="H197" i="74"/>
  <c r="D197" i="74"/>
  <c r="H196" i="74"/>
  <c r="D196" i="74"/>
  <c r="H195" i="74"/>
  <c r="D195" i="74"/>
  <c r="H194" i="74"/>
  <c r="D194" i="74"/>
  <c r="H217" i="74"/>
  <c r="D217" i="74"/>
  <c r="H216" i="74"/>
  <c r="D216" i="74"/>
  <c r="H215" i="74"/>
  <c r="D215" i="74"/>
  <c r="H214" i="74"/>
  <c r="D214" i="74"/>
  <c r="H213" i="74"/>
  <c r="D213" i="74"/>
  <c r="H212" i="74"/>
  <c r="D212" i="74"/>
  <c r="H211" i="74"/>
  <c r="D211" i="74"/>
  <c r="H210" i="74"/>
  <c r="D210" i="74"/>
  <c r="H209" i="74"/>
  <c r="D209" i="74"/>
  <c r="H208" i="74"/>
  <c r="D208" i="74"/>
  <c r="H207" i="74"/>
  <c r="D207" i="74"/>
  <c r="H206" i="74"/>
  <c r="D206" i="74"/>
  <c r="H229" i="74"/>
  <c r="D229" i="74"/>
  <c r="H228" i="74"/>
  <c r="D228" i="74"/>
  <c r="H227" i="74"/>
  <c r="D227" i="74"/>
  <c r="H226" i="74"/>
  <c r="D226" i="74"/>
  <c r="H225" i="74"/>
  <c r="D225" i="74"/>
  <c r="H224" i="74"/>
  <c r="D224" i="74"/>
  <c r="H223" i="74"/>
  <c r="D223" i="74"/>
  <c r="H222" i="74"/>
  <c r="D222" i="74"/>
  <c r="H221" i="74"/>
  <c r="D221" i="74"/>
  <c r="H220" i="74"/>
  <c r="D220" i="74"/>
  <c r="H219" i="74"/>
  <c r="D219" i="74"/>
  <c r="H218" i="74"/>
  <c r="D218" i="74"/>
  <c r="H241" i="74"/>
  <c r="D241" i="74"/>
  <c r="H240" i="74"/>
  <c r="D240" i="74"/>
  <c r="H239" i="74"/>
  <c r="D239" i="74"/>
  <c r="H238" i="74"/>
  <c r="D238" i="74"/>
  <c r="H237" i="74"/>
  <c r="D237" i="74"/>
  <c r="H236" i="74"/>
  <c r="D236" i="74"/>
  <c r="H235" i="74"/>
  <c r="D235" i="74"/>
  <c r="H234" i="74"/>
  <c r="D234" i="74"/>
  <c r="H233" i="74"/>
  <c r="D233" i="74"/>
  <c r="H232" i="74"/>
  <c r="D232" i="74"/>
  <c r="H253" i="74"/>
  <c r="D253" i="74"/>
  <c r="H252" i="74"/>
  <c r="D252" i="74"/>
  <c r="H251" i="74"/>
  <c r="D251" i="74"/>
  <c r="H250" i="74"/>
  <c r="D250" i="74"/>
  <c r="H249" i="74"/>
  <c r="D249" i="74"/>
  <c r="H248" i="74"/>
  <c r="D248" i="74"/>
  <c r="H247" i="74"/>
  <c r="D247" i="74"/>
  <c r="H246" i="74"/>
  <c r="D246" i="74"/>
  <c r="H245" i="74"/>
  <c r="D245" i="74"/>
  <c r="H244" i="74"/>
  <c r="D244" i="74"/>
  <c r="H243" i="74"/>
  <c r="D243" i="74"/>
  <c r="H242" i="74"/>
  <c r="D242" i="74"/>
  <c r="H265" i="74"/>
  <c r="D265" i="74"/>
  <c r="H264" i="74"/>
  <c r="D264" i="74"/>
  <c r="H263" i="74"/>
  <c r="D263" i="74"/>
  <c r="H262" i="74"/>
  <c r="D262" i="74"/>
  <c r="H261" i="74"/>
  <c r="D261" i="74"/>
  <c r="H260" i="74"/>
  <c r="D260" i="74"/>
  <c r="H259" i="74"/>
  <c r="D259" i="74"/>
  <c r="H258" i="74"/>
  <c r="D258" i="74"/>
  <c r="H257" i="74"/>
  <c r="D257" i="74"/>
  <c r="H256" i="74"/>
  <c r="D256" i="74"/>
  <c r="H255" i="74"/>
  <c r="D255" i="74"/>
  <c r="H254" i="74"/>
  <c r="D254" i="74"/>
  <c r="H277" i="74"/>
  <c r="D277" i="74"/>
  <c r="H276" i="74"/>
  <c r="D276" i="74"/>
  <c r="H275" i="74"/>
  <c r="D275" i="74"/>
  <c r="H274" i="74"/>
  <c r="D274" i="74"/>
  <c r="H273" i="74"/>
  <c r="D273" i="74"/>
  <c r="H272" i="74"/>
  <c r="D272" i="74"/>
  <c r="H271" i="74"/>
  <c r="D271" i="74"/>
  <c r="H270" i="74"/>
  <c r="D270" i="74"/>
  <c r="H269" i="74"/>
  <c r="D269" i="74"/>
  <c r="H268" i="74"/>
  <c r="D268" i="74"/>
  <c r="H267" i="74"/>
  <c r="D267" i="74"/>
  <c r="H266" i="74"/>
  <c r="D266" i="74"/>
  <c r="AH121" i="14"/>
  <c r="AA121" i="14"/>
  <c r="AH120" i="14"/>
  <c r="AA120" i="14"/>
  <c r="AH119" i="14"/>
  <c r="AA119" i="14"/>
  <c r="AH118" i="14"/>
  <c r="AH117" i="14"/>
  <c r="AA117" i="14"/>
  <c r="AH116" i="14"/>
  <c r="AA116" i="14"/>
  <c r="AH115" i="14"/>
  <c r="AA115" i="14"/>
  <c r="AH114" i="14"/>
  <c r="AA114" i="14"/>
  <c r="AH113" i="14"/>
  <c r="AA113" i="14"/>
  <c r="AH112" i="14"/>
  <c r="AA112" i="14"/>
  <c r="AH111" i="14"/>
  <c r="AA111" i="14"/>
  <c r="AH110" i="14"/>
  <c r="AA110" i="14"/>
  <c r="AH109" i="14"/>
  <c r="AA109" i="14"/>
  <c r="AH108" i="14"/>
  <c r="AA108" i="14"/>
  <c r="AH107" i="14"/>
  <c r="AA107" i="14"/>
  <c r="AH106" i="14"/>
  <c r="AA106" i="14"/>
  <c r="AH105" i="14"/>
  <c r="AA105" i="14"/>
  <c r="AH104" i="14"/>
  <c r="AA104" i="14"/>
  <c r="AH103" i="14"/>
  <c r="AA103" i="14"/>
  <c r="AH102" i="14"/>
  <c r="AA102" i="14"/>
  <c r="AH101" i="14"/>
  <c r="AA101" i="14"/>
  <c r="AH100" i="14"/>
  <c r="AA100" i="14"/>
  <c r="AH99" i="14"/>
  <c r="AA99" i="14"/>
  <c r="AH98" i="14"/>
  <c r="AA98" i="14"/>
  <c r="AH97" i="14"/>
  <c r="AA97" i="14"/>
  <c r="AH96" i="14"/>
  <c r="AA96" i="14"/>
  <c r="AH95" i="14"/>
  <c r="AA95" i="14"/>
  <c r="AH94" i="14"/>
  <c r="AA94" i="14"/>
  <c r="AH93" i="14"/>
  <c r="AA93" i="14"/>
  <c r="AH92" i="14"/>
  <c r="AA92" i="14"/>
  <c r="AH91" i="14"/>
  <c r="AA91" i="14"/>
  <c r="AH90" i="14"/>
  <c r="AA90" i="14"/>
  <c r="AH89" i="14"/>
  <c r="AA89" i="14"/>
  <c r="AH88" i="14"/>
  <c r="AA88" i="14"/>
  <c r="AH87" i="14"/>
  <c r="AA87" i="14"/>
  <c r="AH86" i="14"/>
  <c r="AA86" i="14"/>
  <c r="AH85" i="14"/>
  <c r="AA85" i="14"/>
  <c r="AH84" i="14"/>
  <c r="AA84" i="14"/>
  <c r="AH83" i="14"/>
  <c r="AA83" i="14"/>
  <c r="AH82" i="14"/>
  <c r="AA82" i="14"/>
  <c r="AH81" i="14"/>
  <c r="AA81" i="14"/>
  <c r="AH80" i="14"/>
  <c r="AA80" i="14"/>
  <c r="AH79" i="14"/>
  <c r="AA79" i="14"/>
  <c r="AH78" i="14"/>
  <c r="AA78" i="14"/>
  <c r="AH77" i="14"/>
  <c r="AA77" i="14"/>
  <c r="AH76" i="14"/>
  <c r="AA76" i="14"/>
  <c r="AH75" i="14"/>
  <c r="AA75" i="14"/>
  <c r="AH74" i="14"/>
  <c r="AA74" i="14"/>
  <c r="AH73" i="14"/>
  <c r="AA73" i="14"/>
  <c r="AH72" i="14"/>
  <c r="AA72" i="14"/>
  <c r="AH71" i="14"/>
  <c r="AA71" i="14"/>
  <c r="AH70" i="14"/>
  <c r="AA70" i="14"/>
  <c r="AH69" i="14"/>
  <c r="AA69" i="14"/>
  <c r="AH68" i="14"/>
  <c r="AA68" i="14"/>
  <c r="AH67" i="14"/>
  <c r="AA67" i="14"/>
  <c r="AH66" i="14"/>
  <c r="AA66" i="14"/>
  <c r="AH65" i="14"/>
  <c r="AA65" i="14"/>
  <c r="AH64" i="14"/>
  <c r="AA64" i="14"/>
  <c r="AH63" i="14"/>
  <c r="AA63" i="14"/>
  <c r="AH62" i="14"/>
  <c r="AA62" i="14"/>
  <c r="AH61" i="14"/>
  <c r="AA61" i="14"/>
  <c r="AH60" i="14"/>
  <c r="AA60" i="14"/>
  <c r="AH59" i="14"/>
  <c r="AA59" i="14"/>
  <c r="AH58" i="14"/>
  <c r="AA58" i="14"/>
  <c r="AH57" i="14"/>
  <c r="AA57" i="14"/>
  <c r="AH56" i="14"/>
  <c r="AA56" i="14"/>
  <c r="AH55" i="14"/>
  <c r="AA55" i="14"/>
  <c r="AH54" i="14"/>
  <c r="AA54" i="14"/>
  <c r="AH53" i="14"/>
  <c r="AA53" i="14"/>
  <c r="AH52" i="14"/>
  <c r="AA52" i="14"/>
  <c r="AH51" i="14"/>
  <c r="AA51" i="14"/>
  <c r="AH50" i="14"/>
  <c r="AA50" i="14"/>
  <c r="AH49" i="14"/>
  <c r="AA49" i="14"/>
  <c r="AH48" i="14"/>
  <c r="AA48" i="14"/>
  <c r="AH47" i="14"/>
  <c r="AA47" i="14"/>
  <c r="AH46" i="14"/>
  <c r="AA46" i="14"/>
  <c r="AH45" i="14"/>
  <c r="AA45" i="14"/>
  <c r="AH44" i="14"/>
  <c r="AA44" i="14"/>
  <c r="AH43" i="14"/>
  <c r="AA43" i="14"/>
  <c r="AH42" i="14"/>
  <c r="AA42" i="14"/>
  <c r="AH41" i="14"/>
  <c r="AA41" i="14"/>
  <c r="AH40" i="14"/>
  <c r="AA40" i="14"/>
  <c r="AH39" i="14"/>
  <c r="AA39" i="14"/>
  <c r="AH38" i="14"/>
  <c r="AA38" i="14"/>
  <c r="AH37" i="14"/>
  <c r="AA37" i="14"/>
  <c r="AH36" i="14"/>
  <c r="AA36" i="14"/>
  <c r="AH35" i="14"/>
  <c r="AA35" i="14"/>
  <c r="AH34" i="14"/>
  <c r="AA34" i="14"/>
  <c r="AH33" i="14"/>
  <c r="AA33" i="14"/>
  <c r="AH32" i="14"/>
  <c r="AA32" i="14"/>
  <c r="AH31" i="14"/>
  <c r="AA31" i="14"/>
  <c r="AH30" i="14"/>
  <c r="AA30" i="14"/>
  <c r="AH29" i="14"/>
  <c r="AA29" i="14"/>
  <c r="AH28" i="14"/>
  <c r="AA28" i="14"/>
  <c r="AH27" i="14"/>
  <c r="AA27" i="14"/>
  <c r="AH26" i="14"/>
  <c r="AA26" i="14"/>
  <c r="AH25" i="14"/>
  <c r="AA25" i="14"/>
  <c r="AH24" i="14"/>
  <c r="AA24" i="14"/>
  <c r="AH23" i="14"/>
  <c r="AA23" i="14"/>
  <c r="AH22" i="14"/>
  <c r="AA22" i="14"/>
  <c r="AH21" i="14"/>
  <c r="AA21" i="14"/>
  <c r="AH20" i="14"/>
  <c r="AA20" i="14"/>
  <c r="AH19" i="14"/>
  <c r="AA19" i="14"/>
  <c r="AH18" i="14"/>
  <c r="AA18" i="14"/>
  <c r="AH17" i="14"/>
  <c r="AA17" i="14"/>
  <c r="AH16" i="14"/>
  <c r="AA16" i="14"/>
  <c r="AH15" i="14"/>
  <c r="AA15" i="14"/>
  <c r="AH14" i="14"/>
  <c r="AA14" i="14"/>
  <c r="AH13" i="14"/>
  <c r="AA13" i="14"/>
  <c r="AH12" i="14"/>
  <c r="AA12" i="14"/>
  <c r="AH11" i="14"/>
  <c r="AA11" i="14"/>
  <c r="AH10" i="14"/>
  <c r="AA10" i="14"/>
  <c r="AH9" i="14"/>
  <c r="AA9" i="14"/>
  <c r="AH8" i="14"/>
  <c r="AA8" i="14"/>
  <c r="AH7" i="14"/>
  <c r="AA7" i="14"/>
  <c r="AH6" i="14"/>
  <c r="AA6" i="14"/>
  <c r="AH5" i="14"/>
  <c r="AA5" i="14"/>
  <c r="Z25" i="35"/>
  <c r="Y10" i="35"/>
  <c r="AA8" i="35"/>
  <c r="C3" i="70"/>
  <c r="C2" i="70" s="1"/>
  <c r="M8" i="43"/>
  <c r="I10" i="43"/>
  <c r="M10" i="43"/>
  <c r="I8" i="43"/>
  <c r="I9" i="43"/>
  <c r="M9" i="43"/>
  <c r="AC392" i="20" l="1"/>
  <c r="U391" i="20"/>
  <c r="AC391" i="20"/>
  <c r="V392" i="20"/>
  <c r="T390" i="20"/>
  <c r="W390" i="20"/>
  <c r="V394" i="20"/>
  <c r="U393" i="20"/>
  <c r="W393" i="20"/>
  <c r="Z391" i="20"/>
  <c r="AB393" i="20"/>
  <c r="X391" i="20"/>
  <c r="Z392" i="20"/>
  <c r="AB392" i="20"/>
  <c r="V390" i="20"/>
  <c r="AA390" i="20"/>
  <c r="Z394" i="20"/>
  <c r="AA391" i="20"/>
  <c r="U394" i="20"/>
  <c r="U392" i="20"/>
  <c r="Y391" i="20"/>
  <c r="AD392" i="20"/>
  <c r="AB390" i="20"/>
  <c r="W394" i="20"/>
  <c r="AD394" i="20"/>
  <c r="AA393" i="20"/>
  <c r="W391" i="20"/>
  <c r="AD393" i="20"/>
  <c r="X393" i="20"/>
  <c r="AB391" i="20"/>
  <c r="T391" i="20"/>
  <c r="T392" i="20"/>
  <c r="W392" i="20"/>
  <c r="U390" i="20"/>
  <c r="AD390" i="20"/>
  <c r="AC394" i="20"/>
  <c r="AB394" i="20"/>
  <c r="AA394" i="20"/>
  <c r="Y393" i="20"/>
  <c r="T393" i="20"/>
  <c r="V391" i="20"/>
  <c r="X392" i="20"/>
  <c r="Y390" i="20"/>
  <c r="AA392" i="20"/>
  <c r="Y392" i="20"/>
  <c r="AD391" i="20"/>
  <c r="X390" i="20"/>
  <c r="T394" i="20"/>
  <c r="AC390" i="20"/>
  <c r="V393" i="20"/>
  <c r="Z393" i="20"/>
  <c r="Y394" i="20"/>
  <c r="Z390" i="20"/>
  <c r="X394" i="20"/>
  <c r="AC393" i="20"/>
  <c r="U8" i="20"/>
  <c r="Z8" i="20"/>
  <c r="T8" i="20"/>
  <c r="Z9" i="20"/>
  <c r="T9" i="20"/>
  <c r="Y9" i="20"/>
  <c r="T389" i="20"/>
  <c r="Y389" i="20"/>
  <c r="AD389" i="20"/>
  <c r="U7" i="20"/>
  <c r="Z7" i="20"/>
  <c r="W10" i="20"/>
  <c r="AB10" i="20"/>
  <c r="V10" i="20"/>
  <c r="V8" i="20"/>
  <c r="AA8" i="20"/>
  <c r="V9" i="20"/>
  <c r="AA9" i="20"/>
  <c r="U9" i="20"/>
  <c r="AA389" i="20"/>
  <c r="U389" i="20"/>
  <c r="Z389" i="20"/>
  <c r="AB7" i="20"/>
  <c r="V7" i="20"/>
  <c r="AA7" i="20"/>
  <c r="X10" i="20"/>
  <c r="AC10" i="20"/>
  <c r="Y8" i="20"/>
  <c r="AD8" i="20"/>
  <c r="X8" i="20"/>
  <c r="AD9" i="20"/>
  <c r="X9" i="20"/>
  <c r="AC9" i="20"/>
  <c r="X389" i="20"/>
  <c r="AC389" i="20"/>
  <c r="T7" i="20"/>
  <c r="Y7" i="20"/>
  <c r="AD7" i="20"/>
  <c r="AA10" i="20"/>
  <c r="U10" i="20"/>
  <c r="Z10" i="20"/>
  <c r="AC8" i="20"/>
  <c r="W8" i="20"/>
  <c r="AB8" i="20"/>
  <c r="W9" i="20"/>
  <c r="AB9" i="20"/>
  <c r="W389" i="20"/>
  <c r="AB389" i="20"/>
  <c r="V389" i="20"/>
  <c r="X7" i="20"/>
  <c r="AC7" i="20"/>
  <c r="W7" i="20"/>
  <c r="T10" i="20"/>
  <c r="Y10" i="20"/>
  <c r="AD10" i="20"/>
  <c r="U12" i="20"/>
  <c r="Z12" i="20"/>
  <c r="T12" i="20"/>
  <c r="V12" i="20"/>
  <c r="AA12" i="20"/>
  <c r="Y12" i="20"/>
  <c r="AD12" i="20"/>
  <c r="X12" i="20"/>
  <c r="AC12" i="20"/>
  <c r="W12" i="20"/>
  <c r="AB12" i="20"/>
  <c r="V13" i="20"/>
  <c r="AA13" i="20"/>
  <c r="U13" i="20"/>
  <c r="AD13" i="20"/>
  <c r="X13" i="20"/>
  <c r="AC13" i="20"/>
  <c r="W13" i="20"/>
  <c r="AB13" i="20"/>
  <c r="Z13" i="20"/>
  <c r="T13" i="20"/>
  <c r="Y13" i="20"/>
  <c r="T11" i="20"/>
  <c r="Y11" i="20"/>
  <c r="AD11" i="20"/>
  <c r="U11" i="20"/>
  <c r="Z11" i="20"/>
  <c r="X11" i="20"/>
  <c r="AC11" i="20"/>
  <c r="W11" i="20"/>
  <c r="AB11" i="20"/>
  <c r="V11" i="20"/>
  <c r="AA11" i="20"/>
  <c r="V21" i="20"/>
  <c r="AA21" i="20"/>
  <c r="U21" i="20"/>
  <c r="AD21" i="20"/>
  <c r="X21" i="20"/>
  <c r="AC21" i="20"/>
  <c r="W21" i="20"/>
  <c r="AB21" i="20"/>
  <c r="Z21" i="20"/>
  <c r="T21" i="20"/>
  <c r="Y21" i="20"/>
  <c r="V18" i="20"/>
  <c r="AB18" i="20"/>
  <c r="W18" i="20"/>
  <c r="AA20" i="20"/>
  <c r="V20" i="20"/>
  <c r="AD18" i="20"/>
  <c r="Y18" i="20"/>
  <c r="T18" i="20"/>
  <c r="X20" i="20"/>
  <c r="AD20" i="20"/>
  <c r="Y20" i="20"/>
  <c r="Z18" i="20"/>
  <c r="U18" i="20"/>
  <c r="AA18" i="20"/>
  <c r="T20" i="20"/>
  <c r="Z20" i="20"/>
  <c r="U20" i="20"/>
  <c r="V60" i="20"/>
  <c r="Z60" i="20"/>
  <c r="AD60" i="20"/>
  <c r="U60" i="20"/>
  <c r="AA60" i="20"/>
  <c r="W60" i="20"/>
  <c r="AB60" i="20"/>
  <c r="X60" i="20"/>
  <c r="AC60" i="20"/>
  <c r="Y60" i="20"/>
  <c r="T60" i="20"/>
  <c r="W61" i="20"/>
  <c r="AA61" i="20"/>
  <c r="U61" i="20"/>
  <c r="Z61" i="20"/>
  <c r="V61" i="20"/>
  <c r="AB61" i="20"/>
  <c r="X61" i="20"/>
  <c r="AC61" i="20"/>
  <c r="T61" i="20"/>
  <c r="Y61" i="20"/>
  <c r="AD61" i="20"/>
  <c r="V56" i="20"/>
  <c r="Z56" i="20"/>
  <c r="AD56" i="20"/>
  <c r="W56" i="20"/>
  <c r="AB56" i="20"/>
  <c r="X56" i="20"/>
  <c r="AC56" i="20"/>
  <c r="T56" i="20"/>
  <c r="Y56" i="20"/>
  <c r="AA56" i="20"/>
  <c r="U56" i="20"/>
  <c r="V49" i="20"/>
  <c r="Z49" i="20"/>
  <c r="AD49" i="20"/>
  <c r="W49" i="20"/>
  <c r="AA49" i="20"/>
  <c r="T49" i="20"/>
  <c r="AB49" i="20"/>
  <c r="U49" i="20"/>
  <c r="AC49" i="20"/>
  <c r="X49" i="20"/>
  <c r="Y49" i="20"/>
  <c r="V45" i="20"/>
  <c r="Z45" i="20"/>
  <c r="AD45" i="20"/>
  <c r="W45" i="20"/>
  <c r="AA45" i="20"/>
  <c r="X45" i="20"/>
  <c r="Y45" i="20"/>
  <c r="T45" i="20"/>
  <c r="AB45" i="20"/>
  <c r="U45" i="20"/>
  <c r="AC45" i="20"/>
  <c r="W42" i="20"/>
  <c r="AA42" i="20"/>
  <c r="T42" i="20"/>
  <c r="X42" i="20"/>
  <c r="AB42" i="20"/>
  <c r="Y42" i="20"/>
  <c r="Z42" i="20"/>
  <c r="U42" i="20"/>
  <c r="AC42" i="20"/>
  <c r="V42" i="20"/>
  <c r="AD42" i="20"/>
  <c r="T39" i="20"/>
  <c r="X39" i="20"/>
  <c r="AB39" i="20"/>
  <c r="U39" i="20"/>
  <c r="Y39" i="20"/>
  <c r="AC39" i="20"/>
  <c r="Z39" i="20"/>
  <c r="AA39" i="20"/>
  <c r="V39" i="20"/>
  <c r="AD39" i="20"/>
  <c r="W39" i="20"/>
  <c r="T43" i="20"/>
  <c r="X43" i="20"/>
  <c r="AB43" i="20"/>
  <c r="U43" i="20"/>
  <c r="Y43" i="20"/>
  <c r="AC43" i="20"/>
  <c r="V43" i="20"/>
  <c r="AD43" i="20"/>
  <c r="W43" i="20"/>
  <c r="Z43" i="20"/>
  <c r="AA43" i="20"/>
  <c r="U44" i="20"/>
  <c r="Y44" i="20"/>
  <c r="AC44" i="20"/>
  <c r="V44" i="20"/>
  <c r="Z44" i="20"/>
  <c r="AD44" i="20"/>
  <c r="AA44" i="20"/>
  <c r="T44" i="20"/>
  <c r="AB44" i="20"/>
  <c r="W44" i="20"/>
  <c r="X44" i="20"/>
  <c r="U40" i="20"/>
  <c r="Y40" i="20"/>
  <c r="AC40" i="20"/>
  <c r="V40" i="20"/>
  <c r="Z40" i="20"/>
  <c r="AD40" i="20"/>
  <c r="W40" i="20"/>
  <c r="X40" i="20"/>
  <c r="AA40" i="20"/>
  <c r="AB40" i="20"/>
  <c r="T40" i="20"/>
  <c r="W38" i="20"/>
  <c r="AA38" i="20"/>
  <c r="T38" i="20"/>
  <c r="X38" i="20"/>
  <c r="AB38" i="20"/>
  <c r="U38" i="20"/>
  <c r="AC38" i="20"/>
  <c r="V38" i="20"/>
  <c r="AD38" i="20"/>
  <c r="Y38" i="20"/>
  <c r="Z38" i="20"/>
  <c r="V41" i="20"/>
  <c r="Z41" i="20"/>
  <c r="AD41" i="20"/>
  <c r="W41" i="20"/>
  <c r="AA41" i="20"/>
  <c r="T41" i="20"/>
  <c r="AB41" i="20"/>
  <c r="U41" i="20"/>
  <c r="AC41" i="20"/>
  <c r="X41" i="20"/>
  <c r="Y41" i="20"/>
  <c r="T35" i="20"/>
  <c r="X35" i="20"/>
  <c r="AB35" i="20"/>
  <c r="V35" i="20"/>
  <c r="Z35" i="20"/>
  <c r="AD35" i="20"/>
  <c r="W35" i="20"/>
  <c r="AA35" i="20"/>
  <c r="U35" i="20"/>
  <c r="Y35" i="20"/>
  <c r="AC35" i="20"/>
  <c r="U36" i="20"/>
  <c r="Y36" i="20"/>
  <c r="AC36" i="20"/>
  <c r="W36" i="20"/>
  <c r="AA36" i="20"/>
  <c r="T36" i="20"/>
  <c r="X36" i="20"/>
  <c r="AB36" i="20"/>
  <c r="Z36" i="20"/>
  <c r="AD36" i="20"/>
  <c r="V36" i="20"/>
  <c r="V37" i="20"/>
  <c r="Z37" i="20"/>
  <c r="T37" i="20"/>
  <c r="X37" i="20"/>
  <c r="AB37" i="20"/>
  <c r="U37" i="20"/>
  <c r="Y37" i="20"/>
  <c r="AC37" i="20"/>
  <c r="AD37" i="20"/>
  <c r="W37" i="20"/>
  <c r="AA37" i="20"/>
  <c r="T31" i="20"/>
  <c r="X31" i="20"/>
  <c r="AB31" i="20"/>
  <c r="V31" i="20"/>
  <c r="Z31" i="20"/>
  <c r="AD31" i="20"/>
  <c r="W31" i="20"/>
  <c r="AA31" i="20"/>
  <c r="U31" i="20"/>
  <c r="Y31" i="20"/>
  <c r="AC31" i="20"/>
  <c r="U32" i="20"/>
  <c r="Y32" i="20"/>
  <c r="AC32" i="20"/>
  <c r="W32" i="20"/>
  <c r="AA32" i="20"/>
  <c r="T32" i="20"/>
  <c r="X32" i="20"/>
  <c r="AB32" i="20"/>
  <c r="V32" i="20"/>
  <c r="Z32" i="20"/>
  <c r="AD32" i="20"/>
  <c r="V33" i="20"/>
  <c r="Z33" i="20"/>
  <c r="AD33" i="20"/>
  <c r="T33" i="20"/>
  <c r="X33" i="20"/>
  <c r="AB33" i="20"/>
  <c r="U33" i="20"/>
  <c r="Y33" i="20"/>
  <c r="AC33" i="20"/>
  <c r="AA33" i="20"/>
  <c r="W33" i="20"/>
  <c r="W34" i="20"/>
  <c r="AA34" i="20"/>
  <c r="U34" i="20"/>
  <c r="Y34" i="20"/>
  <c r="AC34" i="20"/>
  <c r="V34" i="20"/>
  <c r="Z34" i="20"/>
  <c r="AD34" i="20"/>
  <c r="T34" i="20"/>
  <c r="X34" i="20"/>
  <c r="AB34" i="20"/>
  <c r="T23" i="20"/>
  <c r="X23" i="20"/>
  <c r="AB23" i="20"/>
  <c r="U23" i="20"/>
  <c r="Y23" i="20"/>
  <c r="AC23" i="20"/>
  <c r="V23" i="20"/>
  <c r="Z23" i="20"/>
  <c r="AD23" i="20"/>
  <c r="W23" i="20"/>
  <c r="AA23" i="20"/>
  <c r="T27" i="20"/>
  <c r="X27" i="20"/>
  <c r="AB27" i="20"/>
  <c r="V27" i="20"/>
  <c r="Z27" i="20"/>
  <c r="AD27" i="20"/>
  <c r="W27" i="20"/>
  <c r="AA27" i="20"/>
  <c r="AC27" i="20"/>
  <c r="U27" i="20"/>
  <c r="Y27" i="20"/>
  <c r="U28" i="20"/>
  <c r="Y28" i="20"/>
  <c r="AC28" i="20"/>
  <c r="W28" i="20"/>
  <c r="AA28" i="20"/>
  <c r="T28" i="20"/>
  <c r="X28" i="20"/>
  <c r="AB28" i="20"/>
  <c r="V28" i="20"/>
  <c r="Z28" i="20"/>
  <c r="AD28" i="20"/>
  <c r="V29" i="20"/>
  <c r="Z29" i="20"/>
  <c r="AD29" i="20"/>
  <c r="T29" i="20"/>
  <c r="X29" i="20"/>
  <c r="AB29" i="20"/>
  <c r="U29" i="20"/>
  <c r="Y29" i="20"/>
  <c r="AC29" i="20"/>
  <c r="W29" i="20"/>
  <c r="AA29" i="20"/>
  <c r="V25" i="20"/>
  <c r="Z25" i="20"/>
  <c r="AD25" i="20"/>
  <c r="W25" i="20"/>
  <c r="AA25" i="20"/>
  <c r="T25" i="20"/>
  <c r="X25" i="20"/>
  <c r="AB25" i="20"/>
  <c r="U25" i="20"/>
  <c r="Y25" i="20"/>
  <c r="AC25" i="20"/>
  <c r="W26" i="20"/>
  <c r="AA26" i="20"/>
  <c r="T26" i="20"/>
  <c r="U26" i="20"/>
  <c r="Y26" i="20"/>
  <c r="AC26" i="20"/>
  <c r="V26" i="20"/>
  <c r="Z26" i="20"/>
  <c r="AD26" i="20"/>
  <c r="X26" i="20"/>
  <c r="AB26" i="20"/>
  <c r="W30" i="20"/>
  <c r="AA30" i="20"/>
  <c r="U30" i="20"/>
  <c r="Y30" i="20"/>
  <c r="AC30" i="20"/>
  <c r="V30" i="20"/>
  <c r="Z30" i="20"/>
  <c r="AD30" i="20"/>
  <c r="AB30" i="20"/>
  <c r="T30" i="20"/>
  <c r="X30" i="20"/>
  <c r="U24" i="20"/>
  <c r="Y24" i="20"/>
  <c r="AC24" i="20"/>
  <c r="V24" i="20"/>
  <c r="Z24" i="20"/>
  <c r="AD24" i="20"/>
  <c r="W24" i="20"/>
  <c r="AA24" i="20"/>
  <c r="T24" i="20"/>
  <c r="X24" i="20"/>
  <c r="AB24" i="20"/>
  <c r="W22" i="20"/>
  <c r="AA22" i="20"/>
  <c r="T22" i="20"/>
  <c r="X22" i="20"/>
  <c r="AB22" i="20"/>
  <c r="U22" i="20"/>
  <c r="Y22" i="20"/>
  <c r="AC22" i="20"/>
  <c r="V22" i="20"/>
  <c r="Z22" i="20"/>
  <c r="AD22" i="20"/>
  <c r="T19" i="20"/>
  <c r="X19" i="20"/>
  <c r="AB19" i="20"/>
  <c r="U19" i="20"/>
  <c r="Y19" i="20"/>
  <c r="AC19" i="20"/>
  <c r="V19" i="20"/>
  <c r="Z19" i="20"/>
  <c r="AD19" i="20"/>
  <c r="W19" i="20"/>
  <c r="AA19" i="20"/>
  <c r="V17" i="20"/>
  <c r="Z17" i="20"/>
  <c r="AD17" i="20"/>
  <c r="W17" i="20"/>
  <c r="AA17" i="20"/>
  <c r="T17" i="20"/>
  <c r="X17" i="20"/>
  <c r="AB17" i="20"/>
  <c r="U17" i="20"/>
  <c r="Y17" i="20"/>
  <c r="AC17" i="20"/>
  <c r="W14" i="20"/>
  <c r="AA14" i="20"/>
  <c r="T14" i="20"/>
  <c r="X14" i="20"/>
  <c r="AB14" i="20"/>
  <c r="U14" i="20"/>
  <c r="Y14" i="20"/>
  <c r="AC14" i="20"/>
  <c r="V14" i="20"/>
  <c r="Z14" i="20"/>
  <c r="AD14" i="20"/>
  <c r="T15" i="20"/>
  <c r="X15" i="20"/>
  <c r="AB15" i="20"/>
  <c r="U15" i="20"/>
  <c r="Y15" i="20"/>
  <c r="AC15" i="20"/>
  <c r="V15" i="20"/>
  <c r="Z15" i="20"/>
  <c r="AD15" i="20"/>
  <c r="W15" i="20"/>
  <c r="AA15" i="20"/>
  <c r="U16" i="20"/>
  <c r="Y16" i="20"/>
  <c r="AC16" i="20"/>
  <c r="V16" i="20"/>
  <c r="Z16" i="20"/>
  <c r="AD16" i="20"/>
  <c r="W16" i="20"/>
  <c r="AA16" i="20"/>
  <c r="T16" i="20"/>
  <c r="X16" i="20"/>
  <c r="AB16" i="20"/>
  <c r="T386" i="20"/>
  <c r="X386" i="20"/>
  <c r="AB386" i="20"/>
  <c r="U386" i="20"/>
  <c r="Y386" i="20"/>
  <c r="AC386" i="20"/>
  <c r="V386" i="20"/>
  <c r="Z386" i="20"/>
  <c r="AD386" i="20"/>
  <c r="W386" i="20"/>
  <c r="AA386" i="20"/>
  <c r="U387" i="20"/>
  <c r="Y387" i="20"/>
  <c r="AC387" i="20"/>
  <c r="V387" i="20"/>
  <c r="Z387" i="20"/>
  <c r="AD387" i="20"/>
  <c r="W387" i="20"/>
  <c r="AA387" i="20"/>
  <c r="T387" i="20"/>
  <c r="X387" i="20"/>
  <c r="AB387" i="20"/>
  <c r="V388" i="20"/>
  <c r="Z388" i="20"/>
  <c r="AD388" i="20"/>
  <c r="W388" i="20"/>
  <c r="AA388" i="20"/>
  <c r="T388" i="20"/>
  <c r="X388" i="20"/>
  <c r="AB388" i="20"/>
  <c r="U388" i="20"/>
  <c r="Y388" i="20"/>
  <c r="AC388" i="20"/>
  <c r="W381" i="20"/>
  <c r="AA381" i="20"/>
  <c r="T381" i="20"/>
  <c r="X381" i="20"/>
  <c r="AB381" i="20"/>
  <c r="U381" i="20"/>
  <c r="Y381" i="20"/>
  <c r="AC381" i="20"/>
  <c r="V381" i="20"/>
  <c r="Z381" i="20"/>
  <c r="AD381" i="20"/>
  <c r="T382" i="20"/>
  <c r="X382" i="20"/>
  <c r="AB382" i="20"/>
  <c r="U382" i="20"/>
  <c r="Y382" i="20"/>
  <c r="AC382" i="20"/>
  <c r="V382" i="20"/>
  <c r="Z382" i="20"/>
  <c r="AD382" i="20"/>
  <c r="W382" i="20"/>
  <c r="AA382" i="20"/>
  <c r="U383" i="20"/>
  <c r="Y383" i="20"/>
  <c r="AC383" i="20"/>
  <c r="V383" i="20"/>
  <c r="Z383" i="20"/>
  <c r="AD383" i="20"/>
  <c r="W383" i="20"/>
  <c r="AA383" i="20"/>
  <c r="T383" i="20"/>
  <c r="X383" i="20"/>
  <c r="AB383" i="20"/>
  <c r="V384" i="20"/>
  <c r="Z384" i="20"/>
  <c r="AD384" i="20"/>
  <c r="W384" i="20"/>
  <c r="AA384" i="20"/>
  <c r="T384" i="20"/>
  <c r="X384" i="20"/>
  <c r="AB384" i="20"/>
  <c r="U384" i="20"/>
  <c r="Y384" i="20"/>
  <c r="AC384" i="20"/>
  <c r="W385" i="20"/>
  <c r="AA385" i="20"/>
  <c r="T385" i="20"/>
  <c r="X385" i="20"/>
  <c r="AB385" i="20"/>
  <c r="U385" i="20"/>
  <c r="Y385" i="20"/>
  <c r="AC385" i="20"/>
  <c r="V385" i="20"/>
  <c r="Z385" i="20"/>
  <c r="AD385" i="20"/>
  <c r="V376" i="20"/>
  <c r="Z376" i="20"/>
  <c r="AD376" i="20"/>
  <c r="W376" i="20"/>
  <c r="AA376" i="20"/>
  <c r="T376" i="20"/>
  <c r="X376" i="20"/>
  <c r="AB376" i="20"/>
  <c r="U376" i="20"/>
  <c r="Y376" i="20"/>
  <c r="AC376" i="20"/>
  <c r="W377" i="20"/>
  <c r="AA377" i="20"/>
  <c r="T377" i="20"/>
  <c r="X377" i="20"/>
  <c r="AB377" i="20"/>
  <c r="U377" i="20"/>
  <c r="Y377" i="20"/>
  <c r="AC377" i="20"/>
  <c r="V377" i="20"/>
  <c r="Z377" i="20"/>
  <c r="AD377" i="20"/>
  <c r="T378" i="20"/>
  <c r="X378" i="20"/>
  <c r="AB378" i="20"/>
  <c r="U378" i="20"/>
  <c r="Y378" i="20"/>
  <c r="AC378" i="20"/>
  <c r="V378" i="20"/>
  <c r="Z378" i="20"/>
  <c r="AD378" i="20"/>
  <c r="W378" i="20"/>
  <c r="AA378" i="20"/>
  <c r="U379" i="20"/>
  <c r="Y379" i="20"/>
  <c r="AC379" i="20"/>
  <c r="V379" i="20"/>
  <c r="Z379" i="20"/>
  <c r="AD379" i="20"/>
  <c r="W379" i="20"/>
  <c r="AA379" i="20"/>
  <c r="T379" i="20"/>
  <c r="X379" i="20"/>
  <c r="AB379" i="20"/>
  <c r="V380" i="20"/>
  <c r="Z380" i="20"/>
  <c r="AD380" i="20"/>
  <c r="W380" i="20"/>
  <c r="AA380" i="20"/>
  <c r="T380" i="20"/>
  <c r="X380" i="20"/>
  <c r="AB380" i="20"/>
  <c r="U380" i="20"/>
  <c r="Y380" i="20"/>
  <c r="AC380" i="20"/>
  <c r="T370" i="20"/>
  <c r="X370" i="20"/>
  <c r="AB370" i="20"/>
  <c r="U370" i="20"/>
  <c r="Y370" i="20"/>
  <c r="AC370" i="20"/>
  <c r="V370" i="20"/>
  <c r="Z370" i="20"/>
  <c r="AD370" i="20"/>
  <c r="W370" i="20"/>
  <c r="AA370" i="20"/>
  <c r="U371" i="20"/>
  <c r="Y371" i="20"/>
  <c r="AC371" i="20"/>
  <c r="V371" i="20"/>
  <c r="Z371" i="20"/>
  <c r="AD371" i="20"/>
  <c r="W371" i="20"/>
  <c r="AA371" i="20"/>
  <c r="T371" i="20"/>
  <c r="X371" i="20"/>
  <c r="AB371" i="20"/>
  <c r="V372" i="20"/>
  <c r="Z372" i="20"/>
  <c r="AD372" i="20"/>
  <c r="W372" i="20"/>
  <c r="AA372" i="20"/>
  <c r="T372" i="20"/>
  <c r="X372" i="20"/>
  <c r="AB372" i="20"/>
  <c r="U372" i="20"/>
  <c r="Y372" i="20"/>
  <c r="AC372" i="20"/>
  <c r="W373" i="20"/>
  <c r="AA373" i="20"/>
  <c r="T373" i="20"/>
  <c r="X373" i="20"/>
  <c r="AB373" i="20"/>
  <c r="U373" i="20"/>
  <c r="Y373" i="20"/>
  <c r="AC373" i="20"/>
  <c r="V373" i="20"/>
  <c r="Z373" i="20"/>
  <c r="AD373" i="20"/>
  <c r="T374" i="20"/>
  <c r="X374" i="20"/>
  <c r="AB374" i="20"/>
  <c r="U374" i="20"/>
  <c r="Y374" i="20"/>
  <c r="AC374" i="20"/>
  <c r="V374" i="20"/>
  <c r="Z374" i="20"/>
  <c r="AD374" i="20"/>
  <c r="W374" i="20"/>
  <c r="AA374" i="20"/>
  <c r="U375" i="20"/>
  <c r="Y375" i="20"/>
  <c r="AC375" i="20"/>
  <c r="V375" i="20"/>
  <c r="Z375" i="20"/>
  <c r="AD375" i="20"/>
  <c r="W375" i="20"/>
  <c r="AA375" i="20"/>
  <c r="T375" i="20"/>
  <c r="X375" i="20"/>
  <c r="AB375" i="20"/>
  <c r="T363" i="20"/>
  <c r="X363" i="20"/>
  <c r="AB363" i="20"/>
  <c r="Y363" i="20"/>
  <c r="AD363" i="20"/>
  <c r="U363" i="20"/>
  <c r="Z363" i="20"/>
  <c r="V363" i="20"/>
  <c r="AA363" i="20"/>
  <c r="W363" i="20"/>
  <c r="AC363" i="20"/>
  <c r="U364" i="20"/>
  <c r="Y364" i="20"/>
  <c r="AC364" i="20"/>
  <c r="X364" i="20"/>
  <c r="AD364" i="20"/>
  <c r="T364" i="20"/>
  <c r="Z364" i="20"/>
  <c r="V364" i="20"/>
  <c r="AA364" i="20"/>
  <c r="W364" i="20"/>
  <c r="AB364" i="20"/>
  <c r="W365" i="20"/>
  <c r="AA365" i="20"/>
  <c r="T365" i="20"/>
  <c r="X365" i="20"/>
  <c r="AB365" i="20"/>
  <c r="U365" i="20"/>
  <c r="Y365" i="20"/>
  <c r="AC365" i="20"/>
  <c r="V365" i="20"/>
  <c r="Z365" i="20"/>
  <c r="AD365" i="20"/>
  <c r="T366" i="20"/>
  <c r="X366" i="20"/>
  <c r="AB366" i="20"/>
  <c r="U366" i="20"/>
  <c r="Y366" i="20"/>
  <c r="AC366" i="20"/>
  <c r="V366" i="20"/>
  <c r="Z366" i="20"/>
  <c r="AD366" i="20"/>
  <c r="W366" i="20"/>
  <c r="AA366" i="20"/>
  <c r="U367" i="20"/>
  <c r="Y367" i="20"/>
  <c r="AC367" i="20"/>
  <c r="V367" i="20"/>
  <c r="Z367" i="20"/>
  <c r="AD367" i="20"/>
  <c r="W367" i="20"/>
  <c r="AA367" i="20"/>
  <c r="T367" i="20"/>
  <c r="X367" i="20"/>
  <c r="AB367" i="20"/>
  <c r="V368" i="20"/>
  <c r="Z368" i="20"/>
  <c r="AD368" i="20"/>
  <c r="W368" i="20"/>
  <c r="AA368" i="20"/>
  <c r="T368" i="20"/>
  <c r="X368" i="20"/>
  <c r="AB368" i="20"/>
  <c r="U368" i="20"/>
  <c r="Y368" i="20"/>
  <c r="AC368" i="20"/>
  <c r="W369" i="20"/>
  <c r="AA369" i="20"/>
  <c r="T369" i="20"/>
  <c r="X369" i="20"/>
  <c r="AB369" i="20"/>
  <c r="U369" i="20"/>
  <c r="Y369" i="20"/>
  <c r="AC369" i="20"/>
  <c r="V369" i="20"/>
  <c r="Z369" i="20"/>
  <c r="AD369" i="20"/>
  <c r="T359" i="20"/>
  <c r="X359" i="20"/>
  <c r="AB359" i="20"/>
  <c r="U359" i="20"/>
  <c r="Z359" i="20"/>
  <c r="V359" i="20"/>
  <c r="AA359" i="20"/>
  <c r="W359" i="20"/>
  <c r="AC359" i="20"/>
  <c r="Y359" i="20"/>
  <c r="AD359" i="20"/>
  <c r="U360" i="20"/>
  <c r="Y360" i="20"/>
  <c r="AC360" i="20"/>
  <c r="T360" i="20"/>
  <c r="Z360" i="20"/>
  <c r="V360" i="20"/>
  <c r="AA360" i="20"/>
  <c r="W360" i="20"/>
  <c r="AB360" i="20"/>
  <c r="X360" i="20"/>
  <c r="AD360" i="20"/>
  <c r="V361" i="20"/>
  <c r="Z361" i="20"/>
  <c r="AD361" i="20"/>
  <c r="T361" i="20"/>
  <c r="Y361" i="20"/>
  <c r="U361" i="20"/>
  <c r="AA361" i="20"/>
  <c r="W361" i="20"/>
  <c r="AB361" i="20"/>
  <c r="X361" i="20"/>
  <c r="AC361" i="20"/>
  <c r="W362" i="20"/>
  <c r="AA362" i="20"/>
  <c r="T362" i="20"/>
  <c r="Y362" i="20"/>
  <c r="AD362" i="20"/>
  <c r="U362" i="20"/>
  <c r="Z362" i="20"/>
  <c r="V362" i="20"/>
  <c r="AB362" i="20"/>
  <c r="X362" i="20"/>
  <c r="AC362" i="20"/>
  <c r="V349" i="20"/>
  <c r="Z349" i="20"/>
  <c r="AD349" i="20"/>
  <c r="X349" i="20"/>
  <c r="AC349" i="20"/>
  <c r="T349" i="20"/>
  <c r="Y349" i="20"/>
  <c r="U349" i="20"/>
  <c r="AA349" i="20"/>
  <c r="W349" i="20"/>
  <c r="AB349" i="20"/>
  <c r="W350" i="20"/>
  <c r="AA350" i="20"/>
  <c r="X350" i="20"/>
  <c r="AC350" i="20"/>
  <c r="T350" i="20"/>
  <c r="Y350" i="20"/>
  <c r="AD350" i="20"/>
  <c r="U350" i="20"/>
  <c r="Z350" i="20"/>
  <c r="V350" i="20"/>
  <c r="AB350" i="20"/>
  <c r="T351" i="20"/>
  <c r="X351" i="20"/>
  <c r="AB351" i="20"/>
  <c r="W351" i="20"/>
  <c r="AC351" i="20"/>
  <c r="Y351" i="20"/>
  <c r="AD351" i="20"/>
  <c r="U351" i="20"/>
  <c r="Z351" i="20"/>
  <c r="V351" i="20"/>
  <c r="AA351" i="20"/>
  <c r="U352" i="20"/>
  <c r="Y352" i="20"/>
  <c r="AC352" i="20"/>
  <c r="W352" i="20"/>
  <c r="AB352" i="20"/>
  <c r="X352" i="20"/>
  <c r="AD352" i="20"/>
  <c r="T352" i="20"/>
  <c r="Z352" i="20"/>
  <c r="V352" i="20"/>
  <c r="AA352" i="20"/>
  <c r="V353" i="20"/>
  <c r="Z353" i="20"/>
  <c r="AD353" i="20"/>
  <c r="W353" i="20"/>
  <c r="AB353" i="20"/>
  <c r="X353" i="20"/>
  <c r="AC353" i="20"/>
  <c r="T353" i="20"/>
  <c r="Y353" i="20"/>
  <c r="U353" i="20"/>
  <c r="AA353" i="20"/>
  <c r="W354" i="20"/>
  <c r="AA354" i="20"/>
  <c r="V354" i="20"/>
  <c r="AB354" i="20"/>
  <c r="X354" i="20"/>
  <c r="AC354" i="20"/>
  <c r="T354" i="20"/>
  <c r="Y354" i="20"/>
  <c r="AD354" i="20"/>
  <c r="U354" i="20"/>
  <c r="Z354" i="20"/>
  <c r="T355" i="20"/>
  <c r="X355" i="20"/>
  <c r="AB355" i="20"/>
  <c r="V355" i="20"/>
  <c r="AA355" i="20"/>
  <c r="W355" i="20"/>
  <c r="AC355" i="20"/>
  <c r="Y355" i="20"/>
  <c r="AD355" i="20"/>
  <c r="U355" i="20"/>
  <c r="Z355" i="20"/>
  <c r="U356" i="20"/>
  <c r="Y356" i="20"/>
  <c r="AC356" i="20"/>
  <c r="V356" i="20"/>
  <c r="AA356" i="20"/>
  <c r="W356" i="20"/>
  <c r="AB356" i="20"/>
  <c r="X356" i="20"/>
  <c r="AD356" i="20"/>
  <c r="T356" i="20"/>
  <c r="Z356" i="20"/>
  <c r="V357" i="20"/>
  <c r="Z357" i="20"/>
  <c r="AD357" i="20"/>
  <c r="U357" i="20"/>
  <c r="AA357" i="20"/>
  <c r="W357" i="20"/>
  <c r="AB357" i="20"/>
  <c r="X357" i="20"/>
  <c r="AC357" i="20"/>
  <c r="T357" i="20"/>
  <c r="Y357" i="20"/>
  <c r="W358" i="20"/>
  <c r="AA358" i="20"/>
  <c r="U358" i="20"/>
  <c r="Z358" i="20"/>
  <c r="V358" i="20"/>
  <c r="AB358" i="20"/>
  <c r="X358" i="20"/>
  <c r="AC358" i="20"/>
  <c r="T358" i="20"/>
  <c r="Y358" i="20"/>
  <c r="AD358" i="20"/>
  <c r="T343" i="20"/>
  <c r="X343" i="20"/>
  <c r="AB343" i="20"/>
  <c r="U343" i="20"/>
  <c r="Z343" i="20"/>
  <c r="V343" i="20"/>
  <c r="AA343" i="20"/>
  <c r="W343" i="20"/>
  <c r="AC343" i="20"/>
  <c r="Y343" i="20"/>
  <c r="AD343" i="20"/>
  <c r="U344" i="20"/>
  <c r="Y344" i="20"/>
  <c r="AC344" i="20"/>
  <c r="T344" i="20"/>
  <c r="Z344" i="20"/>
  <c r="V344" i="20"/>
  <c r="AA344" i="20"/>
  <c r="W344" i="20"/>
  <c r="AB344" i="20"/>
  <c r="X344" i="20"/>
  <c r="AD344" i="20"/>
  <c r="V345" i="20"/>
  <c r="Z345" i="20"/>
  <c r="AD345" i="20"/>
  <c r="T345" i="20"/>
  <c r="Y345" i="20"/>
  <c r="U345" i="20"/>
  <c r="AA345" i="20"/>
  <c r="W345" i="20"/>
  <c r="AB345" i="20"/>
  <c r="X345" i="20"/>
  <c r="AC345" i="20"/>
  <c r="W346" i="20"/>
  <c r="AA346" i="20"/>
  <c r="T346" i="20"/>
  <c r="Y346" i="20"/>
  <c r="AD346" i="20"/>
  <c r="U346" i="20"/>
  <c r="Z346" i="20"/>
  <c r="V346" i="20"/>
  <c r="AB346" i="20"/>
  <c r="X346" i="20"/>
  <c r="AC346" i="20"/>
  <c r="T347" i="20"/>
  <c r="X347" i="20"/>
  <c r="AB347" i="20"/>
  <c r="Y347" i="20"/>
  <c r="AD347" i="20"/>
  <c r="U347" i="20"/>
  <c r="Z347" i="20"/>
  <c r="V347" i="20"/>
  <c r="AA347" i="20"/>
  <c r="W347" i="20"/>
  <c r="AC347" i="20"/>
  <c r="U348" i="20"/>
  <c r="Y348" i="20"/>
  <c r="AC348" i="20"/>
  <c r="X348" i="20"/>
  <c r="AD348" i="20"/>
  <c r="T348" i="20"/>
  <c r="Z348" i="20"/>
  <c r="V348" i="20"/>
  <c r="AA348" i="20"/>
  <c r="W348" i="20"/>
  <c r="AB348" i="20"/>
  <c r="W342" i="20"/>
  <c r="AA342" i="20"/>
  <c r="U342" i="20"/>
  <c r="Z342" i="20"/>
  <c r="V342" i="20"/>
  <c r="AB342" i="20"/>
  <c r="X342" i="20"/>
  <c r="AC342" i="20"/>
  <c r="T342" i="20"/>
  <c r="Y342" i="20"/>
  <c r="AD342" i="20"/>
  <c r="V341" i="20"/>
  <c r="Z341" i="20"/>
  <c r="AD341" i="20"/>
  <c r="U341" i="20"/>
  <c r="AA341" i="20"/>
  <c r="W341" i="20"/>
  <c r="AB341" i="20"/>
  <c r="X341" i="20"/>
  <c r="AC341" i="20"/>
  <c r="T341" i="20"/>
  <c r="Y341" i="20"/>
  <c r="T339" i="20"/>
  <c r="X339" i="20"/>
  <c r="AB339" i="20"/>
  <c r="V339" i="20"/>
  <c r="AA339" i="20"/>
  <c r="W339" i="20"/>
  <c r="AC339" i="20"/>
  <c r="Y339" i="20"/>
  <c r="AD339" i="20"/>
  <c r="U339" i="20"/>
  <c r="Z339" i="20"/>
  <c r="U340" i="20"/>
  <c r="Y340" i="20"/>
  <c r="AC340" i="20"/>
  <c r="V340" i="20"/>
  <c r="AA340" i="20"/>
  <c r="AB340" i="20"/>
  <c r="W340" i="20"/>
  <c r="X340" i="20"/>
  <c r="AD340" i="20"/>
  <c r="T340" i="20"/>
  <c r="Z340" i="20"/>
  <c r="W338" i="20"/>
  <c r="AA338" i="20"/>
  <c r="V338" i="20"/>
  <c r="AB338" i="20"/>
  <c r="X338" i="20"/>
  <c r="AC338" i="20"/>
  <c r="T338" i="20"/>
  <c r="Y338" i="20"/>
  <c r="AD338" i="20"/>
  <c r="U338" i="20"/>
  <c r="Z338" i="20"/>
  <c r="V337" i="20"/>
  <c r="Z337" i="20"/>
  <c r="AD337" i="20"/>
  <c r="W337" i="20"/>
  <c r="AB337" i="20"/>
  <c r="X337" i="20"/>
  <c r="AC337" i="20"/>
  <c r="T337" i="20"/>
  <c r="Y337" i="20"/>
  <c r="U337" i="20"/>
  <c r="AA337" i="20"/>
  <c r="T335" i="20"/>
  <c r="X335" i="20"/>
  <c r="AB335" i="20"/>
  <c r="W335" i="20"/>
  <c r="AC335" i="20"/>
  <c r="Y335" i="20"/>
  <c r="AD335" i="20"/>
  <c r="U335" i="20"/>
  <c r="Z335" i="20"/>
  <c r="V335" i="20"/>
  <c r="AA335" i="20"/>
  <c r="U336" i="20"/>
  <c r="Y336" i="20"/>
  <c r="AC336" i="20"/>
  <c r="W336" i="20"/>
  <c r="AB336" i="20"/>
  <c r="X336" i="20"/>
  <c r="AD336" i="20"/>
  <c r="T336" i="20"/>
  <c r="Z336" i="20"/>
  <c r="V336" i="20"/>
  <c r="AA336" i="20"/>
  <c r="W334" i="20"/>
  <c r="AA334" i="20"/>
  <c r="X334" i="20"/>
  <c r="AC334" i="20"/>
  <c r="T334" i="20"/>
  <c r="Y334" i="20"/>
  <c r="AD334" i="20"/>
  <c r="U334" i="20"/>
  <c r="Z334" i="20"/>
  <c r="V334" i="20"/>
  <c r="AB334" i="20"/>
  <c r="V333" i="20"/>
  <c r="Z333" i="20"/>
  <c r="AD333" i="20"/>
  <c r="X333" i="20"/>
  <c r="AC333" i="20"/>
  <c r="T333" i="20"/>
  <c r="Y333" i="20"/>
  <c r="U333" i="20"/>
  <c r="AA333" i="20"/>
  <c r="W333" i="20"/>
  <c r="AB333" i="20"/>
  <c r="U332" i="20"/>
  <c r="Y332" i="20"/>
  <c r="AC332" i="20"/>
  <c r="X332" i="20"/>
  <c r="AD332" i="20"/>
  <c r="T332" i="20"/>
  <c r="Z332" i="20"/>
  <c r="V332" i="20"/>
  <c r="AA332" i="20"/>
  <c r="W332" i="20"/>
  <c r="AB332" i="20"/>
  <c r="W330" i="20"/>
  <c r="AA330" i="20"/>
  <c r="T330" i="20"/>
  <c r="Y330" i="20"/>
  <c r="AD330" i="20"/>
  <c r="U330" i="20"/>
  <c r="Z330" i="20"/>
  <c r="V330" i="20"/>
  <c r="AB330" i="20"/>
  <c r="X330" i="20"/>
  <c r="AC330" i="20"/>
  <c r="T331" i="20"/>
  <c r="X331" i="20"/>
  <c r="AB331" i="20"/>
  <c r="Y331" i="20"/>
  <c r="AD331" i="20"/>
  <c r="U331" i="20"/>
  <c r="Z331" i="20"/>
  <c r="V331" i="20"/>
  <c r="AA331" i="20"/>
  <c r="W331" i="20"/>
  <c r="AC331" i="20"/>
  <c r="U328" i="20"/>
  <c r="Y328" i="20"/>
  <c r="AC328" i="20"/>
  <c r="T328" i="20"/>
  <c r="Z328" i="20"/>
  <c r="V328" i="20"/>
  <c r="AA328" i="20"/>
  <c r="W328" i="20"/>
  <c r="AB328" i="20"/>
  <c r="X328" i="20"/>
  <c r="AD328" i="20"/>
  <c r="V329" i="20"/>
  <c r="Z329" i="20"/>
  <c r="AD329" i="20"/>
  <c r="T329" i="20"/>
  <c r="Y329" i="20"/>
  <c r="U329" i="20"/>
  <c r="AA329" i="20"/>
  <c r="W329" i="20"/>
  <c r="AB329" i="20"/>
  <c r="X329" i="20"/>
  <c r="AC329" i="20"/>
  <c r="W327" i="20"/>
  <c r="T327" i="20"/>
  <c r="X327" i="20"/>
  <c r="AB327" i="20"/>
  <c r="Z327" i="20"/>
  <c r="U327" i="20"/>
  <c r="AA327" i="20"/>
  <c r="V327" i="20"/>
  <c r="AC327" i="20"/>
  <c r="Y327" i="20"/>
  <c r="AD327" i="20"/>
  <c r="V326" i="20"/>
  <c r="Z326" i="20"/>
  <c r="AD326" i="20"/>
  <c r="W326" i="20"/>
  <c r="AA326" i="20"/>
  <c r="U326" i="20"/>
  <c r="AC326" i="20"/>
  <c r="X326" i="20"/>
  <c r="Y326" i="20"/>
  <c r="T326" i="20"/>
  <c r="AB326" i="20"/>
  <c r="U322" i="20"/>
  <c r="V322" i="20"/>
  <c r="Z322" i="20"/>
  <c r="AD322" i="20"/>
  <c r="W322" i="20"/>
  <c r="AA322" i="20"/>
  <c r="Y322" i="20"/>
  <c r="AB322" i="20"/>
  <c r="T322" i="20"/>
  <c r="AC322" i="20"/>
  <c r="X322" i="20"/>
  <c r="W323" i="20"/>
  <c r="AA323" i="20"/>
  <c r="T323" i="20"/>
  <c r="X323" i="20"/>
  <c r="AB323" i="20"/>
  <c r="V323" i="20"/>
  <c r="AD323" i="20"/>
  <c r="Y323" i="20"/>
  <c r="Z323" i="20"/>
  <c r="U323" i="20"/>
  <c r="AC323" i="20"/>
  <c r="T324" i="20"/>
  <c r="X324" i="20"/>
  <c r="AB324" i="20"/>
  <c r="U324" i="20"/>
  <c r="Y324" i="20"/>
  <c r="AC324" i="20"/>
  <c r="AA324" i="20"/>
  <c r="V324" i="20"/>
  <c r="AD324" i="20"/>
  <c r="W324" i="20"/>
  <c r="Z324" i="20"/>
  <c r="U325" i="20"/>
  <c r="Y325" i="20"/>
  <c r="AC325" i="20"/>
  <c r="V325" i="20"/>
  <c r="Z325" i="20"/>
  <c r="AD325" i="20"/>
  <c r="X325" i="20"/>
  <c r="AA325" i="20"/>
  <c r="T325" i="20"/>
  <c r="AB325" i="20"/>
  <c r="W325" i="20"/>
  <c r="T321" i="20"/>
  <c r="X321" i="20"/>
  <c r="AB321" i="20"/>
  <c r="U321" i="20"/>
  <c r="Y321" i="20"/>
  <c r="AC321" i="20"/>
  <c r="V321" i="20"/>
  <c r="Z321" i="20"/>
  <c r="AD321" i="20"/>
  <c r="W321" i="20"/>
  <c r="AA321" i="20"/>
  <c r="W320" i="20"/>
  <c r="AA320" i="20"/>
  <c r="T320" i="20"/>
  <c r="X320" i="20"/>
  <c r="AB320" i="20"/>
  <c r="U320" i="20"/>
  <c r="Y320" i="20"/>
  <c r="AC320" i="20"/>
  <c r="V320" i="20"/>
  <c r="Z320" i="20"/>
  <c r="AD320" i="20"/>
  <c r="V319" i="20"/>
  <c r="Z319" i="20"/>
  <c r="AD319" i="20"/>
  <c r="W319" i="20"/>
  <c r="AA319" i="20"/>
  <c r="T319" i="20"/>
  <c r="X319" i="20"/>
  <c r="AB319" i="20"/>
  <c r="AC319" i="20"/>
  <c r="U319" i="20"/>
  <c r="Y319" i="20"/>
  <c r="U318" i="20"/>
  <c r="Y318" i="20"/>
  <c r="AC318" i="20"/>
  <c r="V318" i="20"/>
  <c r="Z318" i="20"/>
  <c r="AD318" i="20"/>
  <c r="W318" i="20"/>
  <c r="AA318" i="20"/>
  <c r="X318" i="20"/>
  <c r="AB318" i="20"/>
  <c r="T318" i="20"/>
  <c r="W316" i="20"/>
  <c r="AA316" i="20"/>
  <c r="T316" i="20"/>
  <c r="X316" i="20"/>
  <c r="AB316" i="20"/>
  <c r="U316" i="20"/>
  <c r="Y316" i="20"/>
  <c r="AC316" i="20"/>
  <c r="AD316" i="20"/>
  <c r="V316" i="20"/>
  <c r="Z316" i="20"/>
  <c r="T317" i="20"/>
  <c r="X317" i="20"/>
  <c r="AB317" i="20"/>
  <c r="U317" i="20"/>
  <c r="Y317" i="20"/>
  <c r="AC317" i="20"/>
  <c r="V317" i="20"/>
  <c r="Z317" i="20"/>
  <c r="AD317" i="20"/>
  <c r="W317" i="20"/>
  <c r="AA317" i="20"/>
  <c r="T313" i="20"/>
  <c r="X313" i="20"/>
  <c r="AB313" i="20"/>
  <c r="U313" i="20"/>
  <c r="Y313" i="20"/>
  <c r="AC313" i="20"/>
  <c r="V313" i="20"/>
  <c r="Z313" i="20"/>
  <c r="AD313" i="20"/>
  <c r="W313" i="20"/>
  <c r="AA313" i="20"/>
  <c r="U314" i="20"/>
  <c r="Y314" i="20"/>
  <c r="AC314" i="20"/>
  <c r="V314" i="20"/>
  <c r="Z314" i="20"/>
  <c r="AD314" i="20"/>
  <c r="W314" i="20"/>
  <c r="AA314" i="20"/>
  <c r="T314" i="20"/>
  <c r="X314" i="20"/>
  <c r="AB314" i="20"/>
  <c r="V315" i="20"/>
  <c r="Z315" i="20"/>
  <c r="AD315" i="20"/>
  <c r="W315" i="20"/>
  <c r="AA315" i="20"/>
  <c r="T315" i="20"/>
  <c r="X315" i="20"/>
  <c r="AB315" i="20"/>
  <c r="Y315" i="20"/>
  <c r="AC315" i="20"/>
  <c r="U315" i="20"/>
  <c r="W312" i="20"/>
  <c r="AA312" i="20"/>
  <c r="T312" i="20"/>
  <c r="X312" i="20"/>
  <c r="AB312" i="20"/>
  <c r="U312" i="20"/>
  <c r="Y312" i="20"/>
  <c r="AC312" i="20"/>
  <c r="Z312" i="20"/>
  <c r="AD312" i="20"/>
  <c r="V312" i="20"/>
  <c r="V311" i="20"/>
  <c r="Z311" i="20"/>
  <c r="AD311" i="20"/>
  <c r="W311" i="20"/>
  <c r="AA311" i="20"/>
  <c r="T311" i="20"/>
  <c r="X311" i="20"/>
  <c r="AB311" i="20"/>
  <c r="U311" i="20"/>
  <c r="Y311" i="20"/>
  <c r="AC311" i="20"/>
  <c r="U310" i="20"/>
  <c r="Y310" i="20"/>
  <c r="AC310" i="20"/>
  <c r="V310" i="20"/>
  <c r="Z310" i="20"/>
  <c r="AD310" i="20"/>
  <c r="W310" i="20"/>
  <c r="AA310" i="20"/>
  <c r="T310" i="20"/>
  <c r="X310" i="20"/>
  <c r="AB310" i="20"/>
  <c r="W304" i="20"/>
  <c r="AA304" i="20"/>
  <c r="T304" i="20"/>
  <c r="X304" i="20"/>
  <c r="AB304" i="20"/>
  <c r="U304" i="20"/>
  <c r="Y304" i="20"/>
  <c r="AC304" i="20"/>
  <c r="V304" i="20"/>
  <c r="Z304" i="20"/>
  <c r="AD304" i="20"/>
  <c r="T305" i="20"/>
  <c r="X305" i="20"/>
  <c r="AB305" i="20"/>
  <c r="U305" i="20"/>
  <c r="Y305" i="20"/>
  <c r="AC305" i="20"/>
  <c r="V305" i="20"/>
  <c r="Z305" i="20"/>
  <c r="AD305" i="20"/>
  <c r="W305" i="20"/>
  <c r="AA305" i="20"/>
  <c r="U306" i="20"/>
  <c r="Y306" i="20"/>
  <c r="AC306" i="20"/>
  <c r="V306" i="20"/>
  <c r="Z306" i="20"/>
  <c r="AD306" i="20"/>
  <c r="W306" i="20"/>
  <c r="AA306" i="20"/>
  <c r="AB306" i="20"/>
  <c r="T306" i="20"/>
  <c r="X306" i="20"/>
  <c r="V307" i="20"/>
  <c r="Z307" i="20"/>
  <c r="AD307" i="20"/>
  <c r="W307" i="20"/>
  <c r="AA307" i="20"/>
  <c r="T307" i="20"/>
  <c r="X307" i="20"/>
  <c r="AB307" i="20"/>
  <c r="U307" i="20"/>
  <c r="Y307" i="20"/>
  <c r="AC307" i="20"/>
  <c r="W308" i="20"/>
  <c r="AA308" i="20"/>
  <c r="T308" i="20"/>
  <c r="X308" i="20"/>
  <c r="AB308" i="20"/>
  <c r="U308" i="20"/>
  <c r="Y308" i="20"/>
  <c r="AC308" i="20"/>
  <c r="V308" i="20"/>
  <c r="Z308" i="20"/>
  <c r="AD308" i="20"/>
  <c r="T309" i="20"/>
  <c r="X309" i="20"/>
  <c r="AB309" i="20"/>
  <c r="U309" i="20"/>
  <c r="Y309" i="20"/>
  <c r="AC309" i="20"/>
  <c r="V309" i="20"/>
  <c r="Z309" i="20"/>
  <c r="AD309" i="20"/>
  <c r="AA309" i="20"/>
  <c r="W309" i="20"/>
  <c r="U298" i="20"/>
  <c r="Y298" i="20"/>
  <c r="AC298" i="20"/>
  <c r="V298" i="20"/>
  <c r="Z298" i="20"/>
  <c r="AD298" i="20"/>
  <c r="W298" i="20"/>
  <c r="AA298" i="20"/>
  <c r="T298" i="20"/>
  <c r="X298" i="20"/>
  <c r="AB298" i="20"/>
  <c r="V299" i="20"/>
  <c r="Z299" i="20"/>
  <c r="AD299" i="20"/>
  <c r="W299" i="20"/>
  <c r="AA299" i="20"/>
  <c r="T299" i="20"/>
  <c r="X299" i="20"/>
  <c r="AB299" i="20"/>
  <c r="Y299" i="20"/>
  <c r="AC299" i="20"/>
  <c r="U299" i="20"/>
  <c r="W300" i="20"/>
  <c r="AA300" i="20"/>
  <c r="T300" i="20"/>
  <c r="X300" i="20"/>
  <c r="AB300" i="20"/>
  <c r="U300" i="20"/>
  <c r="Y300" i="20"/>
  <c r="AC300" i="20"/>
  <c r="AD300" i="20"/>
  <c r="V300" i="20"/>
  <c r="Z300" i="20"/>
  <c r="T301" i="20"/>
  <c r="X301" i="20"/>
  <c r="AB301" i="20"/>
  <c r="U301" i="20"/>
  <c r="Y301" i="20"/>
  <c r="AC301" i="20"/>
  <c r="V301" i="20"/>
  <c r="Z301" i="20"/>
  <c r="AD301" i="20"/>
  <c r="W301" i="20"/>
  <c r="AA301" i="20"/>
  <c r="U302" i="20"/>
  <c r="Y302" i="20"/>
  <c r="AC302" i="20"/>
  <c r="V302" i="20"/>
  <c r="Z302" i="20"/>
  <c r="AD302" i="20"/>
  <c r="W302" i="20"/>
  <c r="AA302" i="20"/>
  <c r="X302" i="20"/>
  <c r="AB302" i="20"/>
  <c r="T302" i="20"/>
  <c r="V303" i="20"/>
  <c r="Z303" i="20"/>
  <c r="AD303" i="20"/>
  <c r="W303" i="20"/>
  <c r="AA303" i="20"/>
  <c r="T303" i="20"/>
  <c r="X303" i="20"/>
  <c r="AB303" i="20"/>
  <c r="AC303" i="20"/>
  <c r="U303" i="20"/>
  <c r="Y303" i="20"/>
  <c r="V291" i="20"/>
  <c r="Z291" i="20"/>
  <c r="AD291" i="20"/>
  <c r="W291" i="20"/>
  <c r="AA291" i="20"/>
  <c r="T291" i="20"/>
  <c r="X291" i="20"/>
  <c r="AB291" i="20"/>
  <c r="U291" i="20"/>
  <c r="Y291" i="20"/>
  <c r="AC291" i="20"/>
  <c r="W292" i="20"/>
  <c r="AA292" i="20"/>
  <c r="T292" i="20"/>
  <c r="X292" i="20"/>
  <c r="AB292" i="20"/>
  <c r="U292" i="20"/>
  <c r="Y292" i="20"/>
  <c r="AC292" i="20"/>
  <c r="V292" i="20"/>
  <c r="Z292" i="20"/>
  <c r="AD292" i="20"/>
  <c r="T293" i="20"/>
  <c r="X293" i="20"/>
  <c r="AB293" i="20"/>
  <c r="U293" i="20"/>
  <c r="Y293" i="20"/>
  <c r="AC293" i="20"/>
  <c r="V293" i="20"/>
  <c r="Z293" i="20"/>
  <c r="AD293" i="20"/>
  <c r="AA293" i="20"/>
  <c r="W293" i="20"/>
  <c r="U294" i="20"/>
  <c r="Y294" i="20"/>
  <c r="AC294" i="20"/>
  <c r="V294" i="20"/>
  <c r="Z294" i="20"/>
  <c r="AD294" i="20"/>
  <c r="W294" i="20"/>
  <c r="AA294" i="20"/>
  <c r="T294" i="20"/>
  <c r="X294" i="20"/>
  <c r="AB294" i="20"/>
  <c r="V295" i="20"/>
  <c r="Z295" i="20"/>
  <c r="AD295" i="20"/>
  <c r="W295" i="20"/>
  <c r="AA295" i="20"/>
  <c r="T295" i="20"/>
  <c r="X295" i="20"/>
  <c r="AB295" i="20"/>
  <c r="U295" i="20"/>
  <c r="Y295" i="20"/>
  <c r="AC295" i="20"/>
  <c r="W296" i="20"/>
  <c r="AA296" i="20"/>
  <c r="T296" i="20"/>
  <c r="X296" i="20"/>
  <c r="AB296" i="20"/>
  <c r="U296" i="20"/>
  <c r="Y296" i="20"/>
  <c r="AC296" i="20"/>
  <c r="Z296" i="20"/>
  <c r="AD296" i="20"/>
  <c r="V296" i="20"/>
  <c r="T297" i="20"/>
  <c r="X297" i="20"/>
  <c r="AB297" i="20"/>
  <c r="U297" i="20"/>
  <c r="Y297" i="20"/>
  <c r="AC297" i="20"/>
  <c r="V297" i="20"/>
  <c r="Z297" i="20"/>
  <c r="AD297" i="20"/>
  <c r="W297" i="20"/>
  <c r="AA297" i="20"/>
  <c r="U290" i="20"/>
  <c r="Y290" i="20"/>
  <c r="AC290" i="20"/>
  <c r="V290" i="20"/>
  <c r="Z290" i="20"/>
  <c r="AD290" i="20"/>
  <c r="W290" i="20"/>
  <c r="AA290" i="20"/>
  <c r="AB290" i="20"/>
  <c r="T290" i="20"/>
  <c r="X290" i="20"/>
  <c r="T289" i="20"/>
  <c r="X289" i="20"/>
  <c r="AB289" i="20"/>
  <c r="U289" i="20"/>
  <c r="Y289" i="20"/>
  <c r="AC289" i="20"/>
  <c r="V289" i="20"/>
  <c r="Z289" i="20"/>
  <c r="AD289" i="20"/>
  <c r="W289" i="20"/>
  <c r="AA289" i="20"/>
  <c r="V287" i="20"/>
  <c r="Z287" i="20"/>
  <c r="AD287" i="20"/>
  <c r="W287" i="20"/>
  <c r="AA287" i="20"/>
  <c r="T287" i="20"/>
  <c r="X287" i="20"/>
  <c r="AB287" i="20"/>
  <c r="AC287" i="20"/>
  <c r="U287" i="20"/>
  <c r="Y287" i="20"/>
  <c r="W288" i="20"/>
  <c r="AA288" i="20"/>
  <c r="T288" i="20"/>
  <c r="X288" i="20"/>
  <c r="AB288" i="20"/>
  <c r="U288" i="20"/>
  <c r="Y288" i="20"/>
  <c r="AC288" i="20"/>
  <c r="V288" i="20"/>
  <c r="Z288" i="20"/>
  <c r="AD288" i="20"/>
  <c r="V283" i="20"/>
  <c r="Z283" i="20"/>
  <c r="AD283" i="20"/>
  <c r="W283" i="20"/>
  <c r="AA283" i="20"/>
  <c r="T283" i="20"/>
  <c r="X283" i="20"/>
  <c r="AB283" i="20"/>
  <c r="Y283" i="20"/>
  <c r="AC283" i="20"/>
  <c r="U283" i="20"/>
  <c r="W284" i="20"/>
  <c r="AA284" i="20"/>
  <c r="T284" i="20"/>
  <c r="X284" i="20"/>
  <c r="AB284" i="20"/>
  <c r="U284" i="20"/>
  <c r="Y284" i="20"/>
  <c r="AC284" i="20"/>
  <c r="AD284" i="20"/>
  <c r="V284" i="20"/>
  <c r="Z284" i="20"/>
  <c r="T285" i="20"/>
  <c r="X285" i="20"/>
  <c r="AB285" i="20"/>
  <c r="U285" i="20"/>
  <c r="Y285" i="20"/>
  <c r="AC285" i="20"/>
  <c r="V285" i="20"/>
  <c r="Z285" i="20"/>
  <c r="AD285" i="20"/>
  <c r="W285" i="20"/>
  <c r="AA285" i="20"/>
  <c r="U286" i="20"/>
  <c r="Y286" i="20"/>
  <c r="AC286" i="20"/>
  <c r="V286" i="20"/>
  <c r="Z286" i="20"/>
  <c r="AD286" i="20"/>
  <c r="W286" i="20"/>
  <c r="AA286" i="20"/>
  <c r="X286" i="20"/>
  <c r="AB286" i="20"/>
  <c r="T286" i="20"/>
  <c r="W264" i="20"/>
  <c r="AA264" i="20"/>
  <c r="T264" i="20"/>
  <c r="X264" i="20"/>
  <c r="AB264" i="20"/>
  <c r="U264" i="20"/>
  <c r="Y264" i="20"/>
  <c r="AC264" i="20"/>
  <c r="Z264" i="20"/>
  <c r="AD264" i="20"/>
  <c r="V264" i="20"/>
  <c r="T265" i="20"/>
  <c r="X265" i="20"/>
  <c r="AB265" i="20"/>
  <c r="U265" i="20"/>
  <c r="Y265" i="20"/>
  <c r="AC265" i="20"/>
  <c r="V265" i="20"/>
  <c r="Z265" i="20"/>
  <c r="AD265" i="20"/>
  <c r="W265" i="20"/>
  <c r="AA265" i="20"/>
  <c r="U266" i="20"/>
  <c r="Y266" i="20"/>
  <c r="AC266" i="20"/>
  <c r="V266" i="20"/>
  <c r="Z266" i="20"/>
  <c r="AD266" i="20"/>
  <c r="W266" i="20"/>
  <c r="AA266" i="20"/>
  <c r="T266" i="20"/>
  <c r="X266" i="20"/>
  <c r="AB266" i="20"/>
  <c r="V267" i="20"/>
  <c r="Z267" i="20"/>
  <c r="AD267" i="20"/>
  <c r="W267" i="20"/>
  <c r="AA267" i="20"/>
  <c r="T267" i="20"/>
  <c r="X267" i="20"/>
  <c r="AB267" i="20"/>
  <c r="Y267" i="20"/>
  <c r="AC267" i="20"/>
  <c r="U267" i="20"/>
  <c r="W268" i="20"/>
  <c r="AA268" i="20"/>
  <c r="T268" i="20"/>
  <c r="X268" i="20"/>
  <c r="AB268" i="20"/>
  <c r="U268" i="20"/>
  <c r="Y268" i="20"/>
  <c r="AC268" i="20"/>
  <c r="AD268" i="20"/>
  <c r="V268" i="20"/>
  <c r="Z268" i="20"/>
  <c r="T269" i="20"/>
  <c r="X269" i="20"/>
  <c r="AB269" i="20"/>
  <c r="U269" i="20"/>
  <c r="Y269" i="20"/>
  <c r="AC269" i="20"/>
  <c r="V269" i="20"/>
  <c r="Z269" i="20"/>
  <c r="AD269" i="20"/>
  <c r="W269" i="20"/>
  <c r="AA269" i="20"/>
  <c r="U270" i="20"/>
  <c r="Y270" i="20"/>
  <c r="AC270" i="20"/>
  <c r="V270" i="20"/>
  <c r="Z270" i="20"/>
  <c r="AD270" i="20"/>
  <c r="W270" i="20"/>
  <c r="AA270" i="20"/>
  <c r="X270" i="20"/>
  <c r="AB270" i="20"/>
  <c r="T270" i="20"/>
  <c r="V271" i="20"/>
  <c r="Z271" i="20"/>
  <c r="AD271" i="20"/>
  <c r="W271" i="20"/>
  <c r="AA271" i="20"/>
  <c r="T271" i="20"/>
  <c r="X271" i="20"/>
  <c r="AB271" i="20"/>
  <c r="AC271" i="20"/>
  <c r="U271" i="20"/>
  <c r="Y271" i="20"/>
  <c r="W272" i="20"/>
  <c r="AA272" i="20"/>
  <c r="T272" i="20"/>
  <c r="X272" i="20"/>
  <c r="AB272" i="20"/>
  <c r="U272" i="20"/>
  <c r="Y272" i="20"/>
  <c r="AC272" i="20"/>
  <c r="V272" i="20"/>
  <c r="Z272" i="20"/>
  <c r="AD272" i="20"/>
  <c r="T273" i="20"/>
  <c r="X273" i="20"/>
  <c r="AB273" i="20"/>
  <c r="U273" i="20"/>
  <c r="Y273" i="20"/>
  <c r="AC273" i="20"/>
  <c r="V273" i="20"/>
  <c r="Z273" i="20"/>
  <c r="AD273" i="20"/>
  <c r="W273" i="20"/>
  <c r="AA273" i="20"/>
  <c r="U274" i="20"/>
  <c r="Y274" i="20"/>
  <c r="AC274" i="20"/>
  <c r="V274" i="20"/>
  <c r="Z274" i="20"/>
  <c r="AD274" i="20"/>
  <c r="W274" i="20"/>
  <c r="AA274" i="20"/>
  <c r="AB274" i="20"/>
  <c r="T274" i="20"/>
  <c r="X274" i="20"/>
  <c r="V275" i="20"/>
  <c r="Z275" i="20"/>
  <c r="AD275" i="20"/>
  <c r="W275" i="20"/>
  <c r="AA275" i="20"/>
  <c r="T275" i="20"/>
  <c r="X275" i="20"/>
  <c r="AB275" i="20"/>
  <c r="U275" i="20"/>
  <c r="Y275" i="20"/>
  <c r="AC275" i="20"/>
  <c r="W276" i="20"/>
  <c r="AA276" i="20"/>
  <c r="T276" i="20"/>
  <c r="X276" i="20"/>
  <c r="AB276" i="20"/>
  <c r="U276" i="20"/>
  <c r="Y276" i="20"/>
  <c r="AC276" i="20"/>
  <c r="V276" i="20"/>
  <c r="Z276" i="20"/>
  <c r="AD276" i="20"/>
  <c r="T277" i="20"/>
  <c r="X277" i="20"/>
  <c r="AB277" i="20"/>
  <c r="U277" i="20"/>
  <c r="Y277" i="20"/>
  <c r="AC277" i="20"/>
  <c r="V277" i="20"/>
  <c r="Z277" i="20"/>
  <c r="AD277" i="20"/>
  <c r="AA277" i="20"/>
  <c r="W277" i="20"/>
  <c r="U278" i="20"/>
  <c r="Y278" i="20"/>
  <c r="AC278" i="20"/>
  <c r="V278" i="20"/>
  <c r="Z278" i="20"/>
  <c r="AD278" i="20"/>
  <c r="W278" i="20"/>
  <c r="AA278" i="20"/>
  <c r="T278" i="20"/>
  <c r="X278" i="20"/>
  <c r="AB278" i="20"/>
  <c r="V279" i="20"/>
  <c r="Z279" i="20"/>
  <c r="AD279" i="20"/>
  <c r="W279" i="20"/>
  <c r="AA279" i="20"/>
  <c r="T279" i="20"/>
  <c r="X279" i="20"/>
  <c r="AB279" i="20"/>
  <c r="U279" i="20"/>
  <c r="Y279" i="20"/>
  <c r="AC279" i="20"/>
  <c r="W280" i="20"/>
  <c r="AA280" i="20"/>
  <c r="T280" i="20"/>
  <c r="X280" i="20"/>
  <c r="AB280" i="20"/>
  <c r="U280" i="20"/>
  <c r="Y280" i="20"/>
  <c r="AC280" i="20"/>
  <c r="Z280" i="20"/>
  <c r="AD280" i="20"/>
  <c r="V280" i="20"/>
  <c r="T281" i="20"/>
  <c r="X281" i="20"/>
  <c r="AB281" i="20"/>
  <c r="U281" i="20"/>
  <c r="Y281" i="20"/>
  <c r="AC281" i="20"/>
  <c r="V281" i="20"/>
  <c r="Z281" i="20"/>
  <c r="AD281" i="20"/>
  <c r="W281" i="20"/>
  <c r="AA281" i="20"/>
  <c r="U282" i="20"/>
  <c r="Y282" i="20"/>
  <c r="AC282" i="20"/>
  <c r="V282" i="20"/>
  <c r="Z282" i="20"/>
  <c r="AD282" i="20"/>
  <c r="W282" i="20"/>
  <c r="AA282" i="20"/>
  <c r="T282" i="20"/>
  <c r="X282" i="20"/>
  <c r="AB282" i="20"/>
  <c r="V263" i="20"/>
  <c r="Z263" i="20"/>
  <c r="AD263" i="20"/>
  <c r="W263" i="20"/>
  <c r="AA263" i="20"/>
  <c r="T263" i="20"/>
  <c r="X263" i="20"/>
  <c r="AB263" i="20"/>
  <c r="U263" i="20"/>
  <c r="Y263" i="20"/>
  <c r="AC263" i="20"/>
  <c r="T257" i="20"/>
  <c r="X257" i="20"/>
  <c r="AB257" i="20"/>
  <c r="U257" i="20"/>
  <c r="Y257" i="20"/>
  <c r="AC257" i="20"/>
  <c r="V257" i="20"/>
  <c r="Z257" i="20"/>
  <c r="AD257" i="20"/>
  <c r="W257" i="20"/>
  <c r="AA257" i="20"/>
  <c r="U258" i="20"/>
  <c r="Y258" i="20"/>
  <c r="AC258" i="20"/>
  <c r="V258" i="20"/>
  <c r="Z258" i="20"/>
  <c r="AD258" i="20"/>
  <c r="W258" i="20"/>
  <c r="AA258" i="20"/>
  <c r="AB258" i="20"/>
  <c r="T258" i="20"/>
  <c r="X258" i="20"/>
  <c r="V259" i="20"/>
  <c r="Z259" i="20"/>
  <c r="AD259" i="20"/>
  <c r="W259" i="20"/>
  <c r="AA259" i="20"/>
  <c r="T259" i="20"/>
  <c r="X259" i="20"/>
  <c r="AB259" i="20"/>
  <c r="U259" i="20"/>
  <c r="Y259" i="20"/>
  <c r="AC259" i="20"/>
  <c r="W260" i="20"/>
  <c r="AA260" i="20"/>
  <c r="T260" i="20"/>
  <c r="X260" i="20"/>
  <c r="AB260" i="20"/>
  <c r="U260" i="20"/>
  <c r="Y260" i="20"/>
  <c r="AC260" i="20"/>
  <c r="V260" i="20"/>
  <c r="Z260" i="20"/>
  <c r="AD260" i="20"/>
  <c r="T261" i="20"/>
  <c r="X261" i="20"/>
  <c r="AB261" i="20"/>
  <c r="U261" i="20"/>
  <c r="Y261" i="20"/>
  <c r="AC261" i="20"/>
  <c r="V261" i="20"/>
  <c r="Z261" i="20"/>
  <c r="AD261" i="20"/>
  <c r="AA261" i="20"/>
  <c r="W261" i="20"/>
  <c r="U262" i="20"/>
  <c r="Y262" i="20"/>
  <c r="AC262" i="20"/>
  <c r="V262" i="20"/>
  <c r="Z262" i="20"/>
  <c r="AD262" i="20"/>
  <c r="W262" i="20"/>
  <c r="AA262" i="20"/>
  <c r="T262" i="20"/>
  <c r="X262" i="20"/>
  <c r="AB262" i="20"/>
  <c r="V255" i="20"/>
  <c r="Z255" i="20"/>
  <c r="AD255" i="20"/>
  <c r="W255" i="20"/>
  <c r="AA255" i="20"/>
  <c r="T255" i="20"/>
  <c r="X255" i="20"/>
  <c r="AB255" i="20"/>
  <c r="AC255" i="20"/>
  <c r="U255" i="20"/>
  <c r="Y255" i="20"/>
  <c r="W256" i="20"/>
  <c r="AA256" i="20"/>
  <c r="T256" i="20"/>
  <c r="X256" i="20"/>
  <c r="AB256" i="20"/>
  <c r="U256" i="20"/>
  <c r="Y256" i="20"/>
  <c r="AC256" i="20"/>
  <c r="V256" i="20"/>
  <c r="Z256" i="20"/>
  <c r="AD256" i="20"/>
  <c r="T253" i="20"/>
  <c r="X253" i="20"/>
  <c r="AB253" i="20"/>
  <c r="U253" i="20"/>
  <c r="Y253" i="20"/>
  <c r="AC253" i="20"/>
  <c r="V253" i="20"/>
  <c r="Z253" i="20"/>
  <c r="AD253" i="20"/>
  <c r="W253" i="20"/>
  <c r="AA253" i="20"/>
  <c r="U254" i="20"/>
  <c r="Y254" i="20"/>
  <c r="AC254" i="20"/>
  <c r="V254" i="20"/>
  <c r="Z254" i="20"/>
  <c r="AD254" i="20"/>
  <c r="W254" i="20"/>
  <c r="AA254" i="20"/>
  <c r="X254" i="20"/>
  <c r="AB254" i="20"/>
  <c r="T254" i="20"/>
  <c r="V251" i="20"/>
  <c r="Z251" i="20"/>
  <c r="AD251" i="20"/>
  <c r="W251" i="20"/>
  <c r="AA251" i="20"/>
  <c r="T251" i="20"/>
  <c r="X251" i="20"/>
  <c r="AB251" i="20"/>
  <c r="Y251" i="20"/>
  <c r="AC251" i="20"/>
  <c r="U251" i="20"/>
  <c r="W252" i="20"/>
  <c r="AA252" i="20"/>
  <c r="T252" i="20"/>
  <c r="X252" i="20"/>
  <c r="AB252" i="20"/>
  <c r="U252" i="20"/>
  <c r="Y252" i="20"/>
  <c r="AC252" i="20"/>
  <c r="AD252" i="20"/>
  <c r="V252" i="20"/>
  <c r="Z252" i="20"/>
  <c r="T249" i="20"/>
  <c r="X249" i="20"/>
  <c r="AB249" i="20"/>
  <c r="U249" i="20"/>
  <c r="Y249" i="20"/>
  <c r="AC249" i="20"/>
  <c r="V249" i="20"/>
  <c r="Z249" i="20"/>
  <c r="AD249" i="20"/>
  <c r="W249" i="20"/>
  <c r="AA249" i="20"/>
  <c r="U250" i="20"/>
  <c r="Y250" i="20"/>
  <c r="AC250" i="20"/>
  <c r="V250" i="20"/>
  <c r="Z250" i="20"/>
  <c r="AD250" i="20"/>
  <c r="W250" i="20"/>
  <c r="AA250" i="20"/>
  <c r="T250" i="20"/>
  <c r="X250" i="20"/>
  <c r="AB250" i="20"/>
  <c r="U246" i="20"/>
  <c r="Y246" i="20"/>
  <c r="AC246" i="20"/>
  <c r="V246" i="20"/>
  <c r="Z246" i="20"/>
  <c r="AD246" i="20"/>
  <c r="AA246" i="20"/>
  <c r="T246" i="20"/>
  <c r="AB246" i="20"/>
  <c r="W246" i="20"/>
  <c r="X246" i="20"/>
  <c r="V247" i="20"/>
  <c r="Z247" i="20"/>
  <c r="AD247" i="20"/>
  <c r="W247" i="20"/>
  <c r="AA247" i="20"/>
  <c r="T247" i="20"/>
  <c r="X247" i="20"/>
  <c r="AB247" i="20"/>
  <c r="U247" i="20"/>
  <c r="Y247" i="20"/>
  <c r="AC247" i="20"/>
  <c r="W248" i="20"/>
  <c r="AA248" i="20"/>
  <c r="T248" i="20"/>
  <c r="X248" i="20"/>
  <c r="AB248" i="20"/>
  <c r="U248" i="20"/>
  <c r="Y248" i="20"/>
  <c r="AC248" i="20"/>
  <c r="Z248" i="20"/>
  <c r="AD248" i="20"/>
  <c r="V248" i="20"/>
  <c r="W237" i="20"/>
  <c r="AA237" i="20"/>
  <c r="T237" i="20"/>
  <c r="X237" i="20"/>
  <c r="AB237" i="20"/>
  <c r="U237" i="20"/>
  <c r="Y237" i="20"/>
  <c r="AC237" i="20"/>
  <c r="AD237" i="20"/>
  <c r="V237" i="20"/>
  <c r="Z237" i="20"/>
  <c r="T238" i="20"/>
  <c r="X238" i="20"/>
  <c r="AB238" i="20"/>
  <c r="U238" i="20"/>
  <c r="Y238" i="20"/>
  <c r="AC238" i="20"/>
  <c r="V238" i="20"/>
  <c r="Z238" i="20"/>
  <c r="AD238" i="20"/>
  <c r="W238" i="20"/>
  <c r="AA238" i="20"/>
  <c r="U239" i="20"/>
  <c r="Y239" i="20"/>
  <c r="AC239" i="20"/>
  <c r="V239" i="20"/>
  <c r="Z239" i="20"/>
  <c r="AD239" i="20"/>
  <c r="W239" i="20"/>
  <c r="AA239" i="20"/>
  <c r="X239" i="20"/>
  <c r="AB239" i="20"/>
  <c r="T239" i="20"/>
  <c r="V240" i="20"/>
  <c r="Z240" i="20"/>
  <c r="AD240" i="20"/>
  <c r="W240" i="20"/>
  <c r="AA240" i="20"/>
  <c r="T240" i="20"/>
  <c r="X240" i="20"/>
  <c r="AB240" i="20"/>
  <c r="AC240" i="20"/>
  <c r="U240" i="20"/>
  <c r="Y240" i="20"/>
  <c r="W241" i="20"/>
  <c r="AA241" i="20"/>
  <c r="T241" i="20"/>
  <c r="X241" i="20"/>
  <c r="AB241" i="20"/>
  <c r="U241" i="20"/>
  <c r="Y241" i="20"/>
  <c r="AC241" i="20"/>
  <c r="V241" i="20"/>
  <c r="Z241" i="20"/>
  <c r="AD241" i="20"/>
  <c r="T242" i="20"/>
  <c r="X242" i="20"/>
  <c r="AB242" i="20"/>
  <c r="U242" i="20"/>
  <c r="Y242" i="20"/>
  <c r="AC242" i="20"/>
  <c r="V242" i="20"/>
  <c r="Z242" i="20"/>
  <c r="AD242" i="20"/>
  <c r="W242" i="20"/>
  <c r="AA242" i="20"/>
  <c r="U243" i="20"/>
  <c r="Y243" i="20"/>
  <c r="AC243" i="20"/>
  <c r="V243" i="20"/>
  <c r="Z243" i="20"/>
  <c r="AD243" i="20"/>
  <c r="W243" i="20"/>
  <c r="AA243" i="20"/>
  <c r="AB243" i="20"/>
  <c r="T243" i="20"/>
  <c r="X243" i="20"/>
  <c r="V244" i="20"/>
  <c r="Z244" i="20"/>
  <c r="AD244" i="20"/>
  <c r="W244" i="20"/>
  <c r="AA244" i="20"/>
  <c r="T244" i="20"/>
  <c r="X244" i="20"/>
  <c r="AB244" i="20"/>
  <c r="U244" i="20"/>
  <c r="Y244" i="20"/>
  <c r="AC244" i="20"/>
  <c r="T245" i="20"/>
  <c r="X245" i="20"/>
  <c r="AB245" i="20"/>
  <c r="U245" i="20"/>
  <c r="Y245" i="20"/>
  <c r="AC245" i="20"/>
  <c r="V245" i="20"/>
  <c r="AD245" i="20"/>
  <c r="W245" i="20"/>
  <c r="Z245" i="20"/>
  <c r="AA245" i="20"/>
  <c r="W233" i="20"/>
  <c r="AA233" i="20"/>
  <c r="T233" i="20"/>
  <c r="X233" i="20"/>
  <c r="AB233" i="20"/>
  <c r="U233" i="20"/>
  <c r="Y233" i="20"/>
  <c r="AC233" i="20"/>
  <c r="Z233" i="20"/>
  <c r="AD233" i="20"/>
  <c r="V233" i="20"/>
  <c r="T234" i="20"/>
  <c r="X234" i="20"/>
  <c r="AB234" i="20"/>
  <c r="U234" i="20"/>
  <c r="Y234" i="20"/>
  <c r="AC234" i="20"/>
  <c r="V234" i="20"/>
  <c r="Z234" i="20"/>
  <c r="AD234" i="20"/>
  <c r="W234" i="20"/>
  <c r="AA234" i="20"/>
  <c r="U235" i="20"/>
  <c r="Y235" i="20"/>
  <c r="AC235" i="20"/>
  <c r="V235" i="20"/>
  <c r="Z235" i="20"/>
  <c r="AD235" i="20"/>
  <c r="W235" i="20"/>
  <c r="AA235" i="20"/>
  <c r="T235" i="20"/>
  <c r="X235" i="20"/>
  <c r="AB235" i="20"/>
  <c r="V236" i="20"/>
  <c r="Z236" i="20"/>
  <c r="AD236" i="20"/>
  <c r="W236" i="20"/>
  <c r="AA236" i="20"/>
  <c r="T236" i="20"/>
  <c r="X236" i="20"/>
  <c r="AB236" i="20"/>
  <c r="Y236" i="20"/>
  <c r="AC236" i="20"/>
  <c r="U236" i="20"/>
  <c r="V232" i="20"/>
  <c r="Z232" i="20"/>
  <c r="AD232" i="20"/>
  <c r="W232" i="20"/>
  <c r="AA232" i="20"/>
  <c r="T232" i="20"/>
  <c r="X232" i="20"/>
  <c r="AB232" i="20"/>
  <c r="U232" i="20"/>
  <c r="Y232" i="20"/>
  <c r="AC232" i="20"/>
  <c r="W229" i="20"/>
  <c r="AA229" i="20"/>
  <c r="T229" i="20"/>
  <c r="X229" i="20"/>
  <c r="AB229" i="20"/>
  <c r="U229" i="20"/>
  <c r="Y229" i="20"/>
  <c r="AC229" i="20"/>
  <c r="V229" i="20"/>
  <c r="Z229" i="20"/>
  <c r="AD229" i="20"/>
  <c r="T230" i="20"/>
  <c r="X230" i="20"/>
  <c r="AB230" i="20"/>
  <c r="U230" i="20"/>
  <c r="Y230" i="20"/>
  <c r="AC230" i="20"/>
  <c r="V230" i="20"/>
  <c r="Z230" i="20"/>
  <c r="AD230" i="20"/>
  <c r="AA230" i="20"/>
  <c r="W230" i="20"/>
  <c r="U231" i="20"/>
  <c r="Y231" i="20"/>
  <c r="AC231" i="20"/>
  <c r="V231" i="20"/>
  <c r="Z231" i="20"/>
  <c r="AD231" i="20"/>
  <c r="W231" i="20"/>
  <c r="AA231" i="20"/>
  <c r="T231" i="20"/>
  <c r="X231" i="20"/>
  <c r="AB231" i="20"/>
  <c r="V228" i="20"/>
  <c r="Z228" i="20"/>
  <c r="AD228" i="20"/>
  <c r="W228" i="20"/>
  <c r="AA228" i="20"/>
  <c r="T228" i="20"/>
  <c r="X228" i="20"/>
  <c r="AB228" i="20"/>
  <c r="U228" i="20"/>
  <c r="Y228" i="20"/>
  <c r="AC228" i="20"/>
  <c r="W225" i="20"/>
  <c r="AA225" i="20"/>
  <c r="T225" i="20"/>
  <c r="X225" i="20"/>
  <c r="AB225" i="20"/>
  <c r="U225" i="20"/>
  <c r="Y225" i="20"/>
  <c r="AC225" i="20"/>
  <c r="V225" i="20"/>
  <c r="Z225" i="20"/>
  <c r="AD225" i="20"/>
  <c r="T226" i="20"/>
  <c r="X226" i="20"/>
  <c r="AB226" i="20"/>
  <c r="U226" i="20"/>
  <c r="Y226" i="20"/>
  <c r="AC226" i="20"/>
  <c r="V226" i="20"/>
  <c r="Z226" i="20"/>
  <c r="AD226" i="20"/>
  <c r="W226" i="20"/>
  <c r="AA226" i="20"/>
  <c r="U227" i="20"/>
  <c r="Y227" i="20"/>
  <c r="AC227" i="20"/>
  <c r="V227" i="20"/>
  <c r="Z227" i="20"/>
  <c r="AD227" i="20"/>
  <c r="W227" i="20"/>
  <c r="AA227" i="20"/>
  <c r="AB227" i="20"/>
  <c r="T227" i="20"/>
  <c r="X227" i="20"/>
  <c r="V224" i="20"/>
  <c r="Z224" i="20"/>
  <c r="AD224" i="20"/>
  <c r="W224" i="20"/>
  <c r="AA224" i="20"/>
  <c r="T224" i="20"/>
  <c r="X224" i="20"/>
  <c r="AB224" i="20"/>
  <c r="U224" i="20"/>
  <c r="Y224" i="20"/>
  <c r="AC224" i="20"/>
  <c r="U223" i="20"/>
  <c r="Y223" i="20"/>
  <c r="AC223" i="20"/>
  <c r="V223" i="20"/>
  <c r="Z223" i="20"/>
  <c r="AD223" i="20"/>
  <c r="W223" i="20"/>
  <c r="AA223" i="20"/>
  <c r="T223" i="20"/>
  <c r="X223" i="20"/>
  <c r="AB223" i="20"/>
  <c r="T222" i="20"/>
  <c r="X222" i="20"/>
  <c r="AB222" i="20"/>
  <c r="U222" i="20"/>
  <c r="Y222" i="20"/>
  <c r="AC222" i="20"/>
  <c r="V222" i="20"/>
  <c r="Z222" i="20"/>
  <c r="AD222" i="20"/>
  <c r="W222" i="20"/>
  <c r="AA222" i="20"/>
  <c r="V220" i="20"/>
  <c r="Z220" i="20"/>
  <c r="AD220" i="20"/>
  <c r="W220" i="20"/>
  <c r="AA220" i="20"/>
  <c r="T220" i="20"/>
  <c r="X220" i="20"/>
  <c r="AB220" i="20"/>
  <c r="U220" i="20"/>
  <c r="Y220" i="20"/>
  <c r="AC220" i="20"/>
  <c r="W221" i="20"/>
  <c r="AA221" i="20"/>
  <c r="T221" i="20"/>
  <c r="X221" i="20"/>
  <c r="AB221" i="20"/>
  <c r="U221" i="20"/>
  <c r="Y221" i="20"/>
  <c r="AC221" i="20"/>
  <c r="V221" i="20"/>
  <c r="Z221" i="20"/>
  <c r="AD221" i="20"/>
  <c r="T214" i="20"/>
  <c r="X214" i="20"/>
  <c r="AB214" i="20"/>
  <c r="U214" i="20"/>
  <c r="Y214" i="20"/>
  <c r="AC214" i="20"/>
  <c r="V214" i="20"/>
  <c r="Z214" i="20"/>
  <c r="AD214" i="20"/>
  <c r="W214" i="20"/>
  <c r="AA214" i="20"/>
  <c r="U215" i="20"/>
  <c r="Y215" i="20"/>
  <c r="AC215" i="20"/>
  <c r="V215" i="20"/>
  <c r="Z215" i="20"/>
  <c r="AD215" i="20"/>
  <c r="W215" i="20"/>
  <c r="AA215" i="20"/>
  <c r="T215" i="20"/>
  <c r="X215" i="20"/>
  <c r="AB215" i="20"/>
  <c r="V216" i="20"/>
  <c r="Z216" i="20"/>
  <c r="AD216" i="20"/>
  <c r="W216" i="20"/>
  <c r="AA216" i="20"/>
  <c r="T216" i="20"/>
  <c r="X216" i="20"/>
  <c r="AB216" i="20"/>
  <c r="U216" i="20"/>
  <c r="Y216" i="20"/>
  <c r="AC216" i="20"/>
  <c r="W217" i="20"/>
  <c r="AA217" i="20"/>
  <c r="T217" i="20"/>
  <c r="X217" i="20"/>
  <c r="AB217" i="20"/>
  <c r="U217" i="20"/>
  <c r="Y217" i="20"/>
  <c r="AC217" i="20"/>
  <c r="V217" i="20"/>
  <c r="Z217" i="20"/>
  <c r="AD217" i="20"/>
  <c r="T218" i="20"/>
  <c r="X218" i="20"/>
  <c r="AB218" i="20"/>
  <c r="U218" i="20"/>
  <c r="Y218" i="20"/>
  <c r="AC218" i="20"/>
  <c r="V218" i="20"/>
  <c r="Z218" i="20"/>
  <c r="AD218" i="20"/>
  <c r="W218" i="20"/>
  <c r="AA218" i="20"/>
  <c r="U219" i="20"/>
  <c r="Y219" i="20"/>
  <c r="AC219" i="20"/>
  <c r="V219" i="20"/>
  <c r="Z219" i="20"/>
  <c r="AD219" i="20"/>
  <c r="W219" i="20"/>
  <c r="AA219" i="20"/>
  <c r="T219" i="20"/>
  <c r="X219" i="20"/>
  <c r="AB219" i="20"/>
  <c r="V212" i="20"/>
  <c r="Z212" i="20"/>
  <c r="AD212" i="20"/>
  <c r="W212" i="20"/>
  <c r="AA212" i="20"/>
  <c r="T212" i="20"/>
  <c r="X212" i="20"/>
  <c r="AB212" i="20"/>
  <c r="U212" i="20"/>
  <c r="Y212" i="20"/>
  <c r="AC212" i="20"/>
  <c r="W213" i="20"/>
  <c r="AA213" i="20"/>
  <c r="T213" i="20"/>
  <c r="X213" i="20"/>
  <c r="AB213" i="20"/>
  <c r="U213" i="20"/>
  <c r="Y213" i="20"/>
  <c r="AC213" i="20"/>
  <c r="V213" i="20"/>
  <c r="Z213" i="20"/>
  <c r="AD213" i="20"/>
  <c r="T202" i="20"/>
  <c r="X202" i="20"/>
  <c r="AB202" i="20"/>
  <c r="U202" i="20"/>
  <c r="Y202" i="20"/>
  <c r="AC202" i="20"/>
  <c r="V202" i="20"/>
  <c r="Z202" i="20"/>
  <c r="AD202" i="20"/>
  <c r="W202" i="20"/>
  <c r="AA202" i="20"/>
  <c r="U203" i="20"/>
  <c r="Y203" i="20"/>
  <c r="AC203" i="20"/>
  <c r="V203" i="20"/>
  <c r="Z203" i="20"/>
  <c r="AD203" i="20"/>
  <c r="W203" i="20"/>
  <c r="AA203" i="20"/>
  <c r="T203" i="20"/>
  <c r="X203" i="20"/>
  <c r="AB203" i="20"/>
  <c r="V204" i="20"/>
  <c r="Z204" i="20"/>
  <c r="AD204" i="20"/>
  <c r="W204" i="20"/>
  <c r="AA204" i="20"/>
  <c r="T204" i="20"/>
  <c r="X204" i="20"/>
  <c r="AB204" i="20"/>
  <c r="U204" i="20"/>
  <c r="Y204" i="20"/>
  <c r="AC204" i="20"/>
  <c r="W205" i="20"/>
  <c r="AA205" i="20"/>
  <c r="T205" i="20"/>
  <c r="X205" i="20"/>
  <c r="AB205" i="20"/>
  <c r="U205" i="20"/>
  <c r="Y205" i="20"/>
  <c r="AC205" i="20"/>
  <c r="V205" i="20"/>
  <c r="Z205" i="20"/>
  <c r="AD205" i="20"/>
  <c r="T206" i="20"/>
  <c r="X206" i="20"/>
  <c r="AB206" i="20"/>
  <c r="U206" i="20"/>
  <c r="Y206" i="20"/>
  <c r="AC206" i="20"/>
  <c r="V206" i="20"/>
  <c r="Z206" i="20"/>
  <c r="AD206" i="20"/>
  <c r="W206" i="20"/>
  <c r="AA206" i="20"/>
  <c r="U207" i="20"/>
  <c r="Y207" i="20"/>
  <c r="AC207" i="20"/>
  <c r="V207" i="20"/>
  <c r="Z207" i="20"/>
  <c r="AD207" i="20"/>
  <c r="W207" i="20"/>
  <c r="AA207" i="20"/>
  <c r="T207" i="20"/>
  <c r="X207" i="20"/>
  <c r="AB207" i="20"/>
  <c r="V208" i="20"/>
  <c r="Z208" i="20"/>
  <c r="AD208" i="20"/>
  <c r="W208" i="20"/>
  <c r="AA208" i="20"/>
  <c r="T208" i="20"/>
  <c r="X208" i="20"/>
  <c r="AB208" i="20"/>
  <c r="U208" i="20"/>
  <c r="Y208" i="20"/>
  <c r="AC208" i="20"/>
  <c r="W209" i="20"/>
  <c r="AA209" i="20"/>
  <c r="T209" i="20"/>
  <c r="X209" i="20"/>
  <c r="AB209" i="20"/>
  <c r="U209" i="20"/>
  <c r="Y209" i="20"/>
  <c r="AC209" i="20"/>
  <c r="V209" i="20"/>
  <c r="Z209" i="20"/>
  <c r="AD209" i="20"/>
  <c r="T210" i="20"/>
  <c r="X210" i="20"/>
  <c r="AB210" i="20"/>
  <c r="U210" i="20"/>
  <c r="Y210" i="20"/>
  <c r="AC210" i="20"/>
  <c r="V210" i="20"/>
  <c r="Z210" i="20"/>
  <c r="AD210" i="20"/>
  <c r="W210" i="20"/>
  <c r="AA210" i="20"/>
  <c r="U211" i="20"/>
  <c r="Y211" i="20"/>
  <c r="AC211" i="20"/>
  <c r="V211" i="20"/>
  <c r="Z211" i="20"/>
  <c r="AD211" i="20"/>
  <c r="W211" i="20"/>
  <c r="AA211" i="20"/>
  <c r="T211" i="20"/>
  <c r="X211" i="20"/>
  <c r="AB211" i="20"/>
  <c r="W201" i="20"/>
  <c r="AA201" i="20"/>
  <c r="T201" i="20"/>
  <c r="X201" i="20"/>
  <c r="AB201" i="20"/>
  <c r="U201" i="20"/>
  <c r="Y201" i="20"/>
  <c r="AC201" i="20"/>
  <c r="V201" i="20"/>
  <c r="Z201" i="20"/>
  <c r="AD201" i="20"/>
  <c r="U197" i="20"/>
  <c r="Y197" i="20"/>
  <c r="AC197" i="20"/>
  <c r="V197" i="20"/>
  <c r="Z197" i="20"/>
  <c r="AD197" i="20"/>
  <c r="W197" i="20"/>
  <c r="AA197" i="20"/>
  <c r="X197" i="20"/>
  <c r="AB197" i="20"/>
  <c r="T197" i="20"/>
  <c r="V198" i="20"/>
  <c r="Z198" i="20"/>
  <c r="AD198" i="20"/>
  <c r="W198" i="20"/>
  <c r="AA198" i="20"/>
  <c r="T198" i="20"/>
  <c r="X198" i="20"/>
  <c r="AB198" i="20"/>
  <c r="AC198" i="20"/>
  <c r="U198" i="20"/>
  <c r="Y198" i="20"/>
  <c r="W199" i="20"/>
  <c r="AA199" i="20"/>
  <c r="T199" i="20"/>
  <c r="X199" i="20"/>
  <c r="AB199" i="20"/>
  <c r="U199" i="20"/>
  <c r="Y199" i="20"/>
  <c r="AC199" i="20"/>
  <c r="V199" i="20"/>
  <c r="Z199" i="20"/>
  <c r="AD199" i="20"/>
  <c r="T200" i="20"/>
  <c r="X200" i="20"/>
  <c r="U200" i="20"/>
  <c r="Y200" i="20"/>
  <c r="V200" i="20"/>
  <c r="Z200" i="20"/>
  <c r="W200" i="20"/>
  <c r="AD200" i="20"/>
  <c r="AA200" i="20"/>
  <c r="AB200" i="20"/>
  <c r="AC200" i="20"/>
  <c r="W191" i="20"/>
  <c r="AA191" i="20"/>
  <c r="T191" i="20"/>
  <c r="X191" i="20"/>
  <c r="AB191" i="20"/>
  <c r="U191" i="20"/>
  <c r="Y191" i="20"/>
  <c r="AC191" i="20"/>
  <c r="Z191" i="20"/>
  <c r="AD191" i="20"/>
  <c r="V191" i="20"/>
  <c r="T192" i="20"/>
  <c r="X192" i="20"/>
  <c r="AB192" i="20"/>
  <c r="U192" i="20"/>
  <c r="Y192" i="20"/>
  <c r="AC192" i="20"/>
  <c r="V192" i="20"/>
  <c r="Z192" i="20"/>
  <c r="AD192" i="20"/>
  <c r="W192" i="20"/>
  <c r="AA192" i="20"/>
  <c r="U193" i="20"/>
  <c r="Y193" i="20"/>
  <c r="AC193" i="20"/>
  <c r="V193" i="20"/>
  <c r="Z193" i="20"/>
  <c r="AD193" i="20"/>
  <c r="W193" i="20"/>
  <c r="AA193" i="20"/>
  <c r="T193" i="20"/>
  <c r="X193" i="20"/>
  <c r="AB193" i="20"/>
  <c r="V194" i="20"/>
  <c r="Z194" i="20"/>
  <c r="AD194" i="20"/>
  <c r="W194" i="20"/>
  <c r="AA194" i="20"/>
  <c r="T194" i="20"/>
  <c r="X194" i="20"/>
  <c r="AB194" i="20"/>
  <c r="Y194" i="20"/>
  <c r="AC194" i="20"/>
  <c r="U194" i="20"/>
  <c r="W195" i="20"/>
  <c r="AA195" i="20"/>
  <c r="T195" i="20"/>
  <c r="X195" i="20"/>
  <c r="AB195" i="20"/>
  <c r="U195" i="20"/>
  <c r="Y195" i="20"/>
  <c r="AC195" i="20"/>
  <c r="AD195" i="20"/>
  <c r="V195" i="20"/>
  <c r="Z195" i="20"/>
  <c r="T196" i="20"/>
  <c r="X196" i="20"/>
  <c r="AB196" i="20"/>
  <c r="U196" i="20"/>
  <c r="Y196" i="20"/>
  <c r="AC196" i="20"/>
  <c r="V196" i="20"/>
  <c r="Z196" i="20"/>
  <c r="AD196" i="20"/>
  <c r="W196" i="20"/>
  <c r="AA196" i="20"/>
  <c r="U189" i="20"/>
  <c r="Y189" i="20"/>
  <c r="AC189" i="20"/>
  <c r="V189" i="20"/>
  <c r="Z189" i="20"/>
  <c r="AD189" i="20"/>
  <c r="W189" i="20"/>
  <c r="AA189" i="20"/>
  <c r="T189" i="20"/>
  <c r="X189" i="20"/>
  <c r="AB189" i="20"/>
  <c r="V190" i="20"/>
  <c r="Z190" i="20"/>
  <c r="AD190" i="20"/>
  <c r="W190" i="20"/>
  <c r="AA190" i="20"/>
  <c r="T190" i="20"/>
  <c r="X190" i="20"/>
  <c r="AB190" i="20"/>
  <c r="U190" i="20"/>
  <c r="Y190" i="20"/>
  <c r="AC190" i="20"/>
  <c r="T188" i="20"/>
  <c r="X188" i="20"/>
  <c r="AB188" i="20"/>
  <c r="U188" i="20"/>
  <c r="Y188" i="20"/>
  <c r="AC188" i="20"/>
  <c r="V188" i="20"/>
  <c r="Z188" i="20"/>
  <c r="AD188" i="20"/>
  <c r="AA188" i="20"/>
  <c r="W188" i="20"/>
  <c r="W187" i="20"/>
  <c r="AA187" i="20"/>
  <c r="T187" i="20"/>
  <c r="X187" i="20"/>
  <c r="AB187" i="20"/>
  <c r="U187" i="20"/>
  <c r="Y187" i="20"/>
  <c r="AC187" i="20"/>
  <c r="V187" i="20"/>
  <c r="Z187" i="20"/>
  <c r="AD187" i="20"/>
  <c r="V182" i="20"/>
  <c r="Z182" i="20"/>
  <c r="AD182" i="20"/>
  <c r="W182" i="20"/>
  <c r="AA182" i="20"/>
  <c r="T182" i="20"/>
  <c r="X182" i="20"/>
  <c r="AB182" i="20"/>
  <c r="AC182" i="20"/>
  <c r="U182" i="20"/>
  <c r="Y182" i="20"/>
  <c r="W183" i="20"/>
  <c r="AA183" i="20"/>
  <c r="T183" i="20"/>
  <c r="X183" i="20"/>
  <c r="AB183" i="20"/>
  <c r="U183" i="20"/>
  <c r="Y183" i="20"/>
  <c r="AC183" i="20"/>
  <c r="V183" i="20"/>
  <c r="Z183" i="20"/>
  <c r="AD183" i="20"/>
  <c r="T184" i="20"/>
  <c r="X184" i="20"/>
  <c r="AB184" i="20"/>
  <c r="U184" i="20"/>
  <c r="Y184" i="20"/>
  <c r="AC184" i="20"/>
  <c r="V184" i="20"/>
  <c r="Z184" i="20"/>
  <c r="AD184" i="20"/>
  <c r="W184" i="20"/>
  <c r="AA184" i="20"/>
  <c r="U185" i="20"/>
  <c r="Y185" i="20"/>
  <c r="AC185" i="20"/>
  <c r="V185" i="20"/>
  <c r="Z185" i="20"/>
  <c r="AD185" i="20"/>
  <c r="W185" i="20"/>
  <c r="AA185" i="20"/>
  <c r="AB185" i="20"/>
  <c r="T185" i="20"/>
  <c r="X185" i="20"/>
  <c r="V186" i="20"/>
  <c r="Z186" i="20"/>
  <c r="AD186" i="20"/>
  <c r="W186" i="20"/>
  <c r="AA186" i="20"/>
  <c r="T186" i="20"/>
  <c r="X186" i="20"/>
  <c r="AB186" i="20"/>
  <c r="U186" i="20"/>
  <c r="Y186" i="20"/>
  <c r="AC186" i="20"/>
  <c r="U181" i="20"/>
  <c r="Y181" i="20"/>
  <c r="AC181" i="20"/>
  <c r="V181" i="20"/>
  <c r="Z181" i="20"/>
  <c r="AD181" i="20"/>
  <c r="W181" i="20"/>
  <c r="AA181" i="20"/>
  <c r="X181" i="20"/>
  <c r="AB181" i="20"/>
  <c r="T181" i="20"/>
  <c r="T180" i="20"/>
  <c r="X180" i="20"/>
  <c r="AB180" i="20"/>
  <c r="U180" i="20"/>
  <c r="Y180" i="20"/>
  <c r="AC180" i="20"/>
  <c r="V180" i="20"/>
  <c r="Z180" i="20"/>
  <c r="AD180" i="20"/>
  <c r="W180" i="20"/>
  <c r="AA180" i="20"/>
  <c r="W179" i="20"/>
  <c r="AA179" i="20"/>
  <c r="T179" i="20"/>
  <c r="X179" i="20"/>
  <c r="AB179" i="20"/>
  <c r="U179" i="20"/>
  <c r="Y179" i="20"/>
  <c r="AC179" i="20"/>
  <c r="AD179" i="20"/>
  <c r="V179" i="20"/>
  <c r="Z179" i="20"/>
  <c r="V178" i="20"/>
  <c r="Z178" i="20"/>
  <c r="AD178" i="20"/>
  <c r="W178" i="20"/>
  <c r="AA178" i="20"/>
  <c r="T178" i="20"/>
  <c r="X178" i="20"/>
  <c r="AB178" i="20"/>
  <c r="Y178" i="20"/>
  <c r="AC178" i="20"/>
  <c r="U178" i="20"/>
  <c r="T176" i="20"/>
  <c r="X176" i="20"/>
  <c r="AB176" i="20"/>
  <c r="U176" i="20"/>
  <c r="Y176" i="20"/>
  <c r="AC176" i="20"/>
  <c r="V176" i="20"/>
  <c r="Z176" i="20"/>
  <c r="AD176" i="20"/>
  <c r="W176" i="20"/>
  <c r="AA176" i="20"/>
  <c r="U177" i="20"/>
  <c r="Y177" i="20"/>
  <c r="AC177" i="20"/>
  <c r="V177" i="20"/>
  <c r="Z177" i="20"/>
  <c r="AD177" i="20"/>
  <c r="W177" i="20"/>
  <c r="AA177" i="20"/>
  <c r="T177" i="20"/>
  <c r="X177" i="20"/>
  <c r="AB177" i="20"/>
  <c r="W175" i="20"/>
  <c r="AA175" i="20"/>
  <c r="T175" i="20"/>
  <c r="X175" i="20"/>
  <c r="AB175" i="20"/>
  <c r="U175" i="20"/>
  <c r="Y175" i="20"/>
  <c r="AC175" i="20"/>
  <c r="Z175" i="20"/>
  <c r="AD175" i="20"/>
  <c r="V175" i="20"/>
  <c r="V174" i="20"/>
  <c r="Z174" i="20"/>
  <c r="AD174" i="20"/>
  <c r="W174" i="20"/>
  <c r="AA174" i="20"/>
  <c r="T174" i="20"/>
  <c r="X174" i="20"/>
  <c r="AB174" i="20"/>
  <c r="U174" i="20"/>
  <c r="Y174" i="20"/>
  <c r="AC174" i="20"/>
  <c r="U173" i="20"/>
  <c r="Y173" i="20"/>
  <c r="AC173" i="20"/>
  <c r="V173" i="20"/>
  <c r="Z173" i="20"/>
  <c r="AD173" i="20"/>
  <c r="W173" i="20"/>
  <c r="AA173" i="20"/>
  <c r="T173" i="20"/>
  <c r="X173" i="20"/>
  <c r="AB173" i="20"/>
  <c r="T172" i="20"/>
  <c r="X172" i="20"/>
  <c r="AB172" i="20"/>
  <c r="U172" i="20"/>
  <c r="Y172" i="20"/>
  <c r="AC172" i="20"/>
  <c r="V172" i="20"/>
  <c r="Z172" i="20"/>
  <c r="AD172" i="20"/>
  <c r="AA172" i="20"/>
  <c r="W172" i="20"/>
  <c r="V170" i="20"/>
  <c r="Z170" i="20"/>
  <c r="AD170" i="20"/>
  <c r="W170" i="20"/>
  <c r="AA170" i="20"/>
  <c r="T170" i="20"/>
  <c r="X170" i="20"/>
  <c r="AB170" i="20"/>
  <c r="U170" i="20"/>
  <c r="Y170" i="20"/>
  <c r="AC170" i="20"/>
  <c r="W171" i="20"/>
  <c r="AA171" i="20"/>
  <c r="T171" i="20"/>
  <c r="X171" i="20"/>
  <c r="AB171" i="20"/>
  <c r="U171" i="20"/>
  <c r="Y171" i="20"/>
  <c r="AC171" i="20"/>
  <c r="V171" i="20"/>
  <c r="Z171" i="20"/>
  <c r="AD171" i="20"/>
  <c r="U169" i="20"/>
  <c r="Y169" i="20"/>
  <c r="AC169" i="20"/>
  <c r="V169" i="20"/>
  <c r="Z169" i="20"/>
  <c r="AD169" i="20"/>
  <c r="W169" i="20"/>
  <c r="AA169" i="20"/>
  <c r="AB169" i="20"/>
  <c r="T169" i="20"/>
  <c r="X169" i="20"/>
  <c r="T168" i="20"/>
  <c r="X168" i="20"/>
  <c r="AB168" i="20"/>
  <c r="U168" i="20"/>
  <c r="Y168" i="20"/>
  <c r="AC168" i="20"/>
  <c r="V168" i="20"/>
  <c r="Z168" i="20"/>
  <c r="AD168" i="20"/>
  <c r="W168" i="20"/>
  <c r="AA168" i="20"/>
  <c r="W167" i="20"/>
  <c r="AA167" i="20"/>
  <c r="T167" i="20"/>
  <c r="X167" i="20"/>
  <c r="AB167" i="20"/>
  <c r="U167" i="20"/>
  <c r="Y167" i="20"/>
  <c r="AC167" i="20"/>
  <c r="V167" i="20"/>
  <c r="Z167" i="20"/>
  <c r="AD167" i="20"/>
  <c r="U165" i="20"/>
  <c r="Y165" i="20"/>
  <c r="AC165" i="20"/>
  <c r="V165" i="20"/>
  <c r="Z165" i="20"/>
  <c r="AD165" i="20"/>
  <c r="W165" i="20"/>
  <c r="AA165" i="20"/>
  <c r="X165" i="20"/>
  <c r="AB165" i="20"/>
  <c r="T165" i="20"/>
  <c r="V166" i="20"/>
  <c r="Z166" i="20"/>
  <c r="AD166" i="20"/>
  <c r="W166" i="20"/>
  <c r="AA166" i="20"/>
  <c r="T166" i="20"/>
  <c r="X166" i="20"/>
  <c r="AB166" i="20"/>
  <c r="AC166" i="20"/>
  <c r="U166" i="20"/>
  <c r="Y166" i="20"/>
  <c r="W163" i="20"/>
  <c r="AA163" i="20"/>
  <c r="T163" i="20"/>
  <c r="X163" i="20"/>
  <c r="AB163" i="20"/>
  <c r="U163" i="20"/>
  <c r="Y163" i="20"/>
  <c r="AC163" i="20"/>
  <c r="AD163" i="20"/>
  <c r="V163" i="20"/>
  <c r="Z163" i="20"/>
  <c r="T164" i="20"/>
  <c r="X164" i="20"/>
  <c r="AB164" i="20"/>
  <c r="U164" i="20"/>
  <c r="Y164" i="20"/>
  <c r="AC164" i="20"/>
  <c r="V164" i="20"/>
  <c r="Z164" i="20"/>
  <c r="AD164" i="20"/>
  <c r="W164" i="20"/>
  <c r="AA164" i="20"/>
  <c r="U157" i="20"/>
  <c r="Y157" i="20"/>
  <c r="AC157" i="20"/>
  <c r="V157" i="20"/>
  <c r="Z157" i="20"/>
  <c r="AD157" i="20"/>
  <c r="W157" i="20"/>
  <c r="AA157" i="20"/>
  <c r="T157" i="20"/>
  <c r="X157" i="20"/>
  <c r="AB157" i="20"/>
  <c r="V158" i="20"/>
  <c r="Z158" i="20"/>
  <c r="AD158" i="20"/>
  <c r="W158" i="20"/>
  <c r="AA158" i="20"/>
  <c r="T158" i="20"/>
  <c r="X158" i="20"/>
  <c r="AB158" i="20"/>
  <c r="U158" i="20"/>
  <c r="Y158" i="20"/>
  <c r="AC158" i="20"/>
  <c r="W159" i="20"/>
  <c r="AA159" i="20"/>
  <c r="T159" i="20"/>
  <c r="X159" i="20"/>
  <c r="AB159" i="20"/>
  <c r="U159" i="20"/>
  <c r="Y159" i="20"/>
  <c r="AC159" i="20"/>
  <c r="Z159" i="20"/>
  <c r="AD159" i="20"/>
  <c r="V159" i="20"/>
  <c r="T160" i="20"/>
  <c r="X160" i="20"/>
  <c r="AB160" i="20"/>
  <c r="U160" i="20"/>
  <c r="Y160" i="20"/>
  <c r="AC160" i="20"/>
  <c r="V160" i="20"/>
  <c r="Z160" i="20"/>
  <c r="AD160" i="20"/>
  <c r="W160" i="20"/>
  <c r="AA160" i="20"/>
  <c r="U161" i="20"/>
  <c r="Y161" i="20"/>
  <c r="AC161" i="20"/>
  <c r="V161" i="20"/>
  <c r="Z161" i="20"/>
  <c r="AD161" i="20"/>
  <c r="W161" i="20"/>
  <c r="AA161" i="20"/>
  <c r="T161" i="20"/>
  <c r="X161" i="20"/>
  <c r="AB161" i="20"/>
  <c r="V162" i="20"/>
  <c r="Z162" i="20"/>
  <c r="AD162" i="20"/>
  <c r="W162" i="20"/>
  <c r="AA162" i="20"/>
  <c r="T162" i="20"/>
  <c r="X162" i="20"/>
  <c r="AB162" i="20"/>
  <c r="Y162" i="20"/>
  <c r="AC162" i="20"/>
  <c r="U162" i="20"/>
  <c r="T154" i="20"/>
  <c r="U154" i="20"/>
  <c r="V154" i="20"/>
  <c r="Z154" i="20"/>
  <c r="AD154" i="20"/>
  <c r="W154" i="20"/>
  <c r="AA154" i="20"/>
  <c r="X154" i="20"/>
  <c r="AB154" i="20"/>
  <c r="Y154" i="20"/>
  <c r="AC154" i="20"/>
  <c r="W155" i="20"/>
  <c r="AA155" i="20"/>
  <c r="T155" i="20"/>
  <c r="X155" i="20"/>
  <c r="AB155" i="20"/>
  <c r="U155" i="20"/>
  <c r="Y155" i="20"/>
  <c r="AC155" i="20"/>
  <c r="V155" i="20"/>
  <c r="Z155" i="20"/>
  <c r="AD155" i="20"/>
  <c r="T156" i="20"/>
  <c r="X156" i="20"/>
  <c r="AB156" i="20"/>
  <c r="U156" i="20"/>
  <c r="Y156" i="20"/>
  <c r="AC156" i="20"/>
  <c r="V156" i="20"/>
  <c r="Z156" i="20"/>
  <c r="AD156" i="20"/>
  <c r="AA156" i="20"/>
  <c r="W156" i="20"/>
  <c r="U143" i="20"/>
  <c r="Y143" i="20"/>
  <c r="AC143" i="20"/>
  <c r="V143" i="20"/>
  <c r="Z143" i="20"/>
  <c r="AD143" i="20"/>
  <c r="W143" i="20"/>
  <c r="AA143" i="20"/>
  <c r="AB143" i="20"/>
  <c r="T143" i="20"/>
  <c r="X143" i="20"/>
  <c r="V144" i="20"/>
  <c r="Z144" i="20"/>
  <c r="AD144" i="20"/>
  <c r="W144" i="20"/>
  <c r="AA144" i="20"/>
  <c r="T144" i="20"/>
  <c r="X144" i="20"/>
  <c r="AB144" i="20"/>
  <c r="U144" i="20"/>
  <c r="Y144" i="20"/>
  <c r="AC144" i="20"/>
  <c r="W145" i="20"/>
  <c r="AA145" i="20"/>
  <c r="T145" i="20"/>
  <c r="X145" i="20"/>
  <c r="AB145" i="20"/>
  <c r="U145" i="20"/>
  <c r="Y145" i="20"/>
  <c r="AC145" i="20"/>
  <c r="V145" i="20"/>
  <c r="Z145" i="20"/>
  <c r="AD145" i="20"/>
  <c r="T146" i="20"/>
  <c r="X146" i="20"/>
  <c r="AB146" i="20"/>
  <c r="U146" i="20"/>
  <c r="Y146" i="20"/>
  <c r="AC146" i="20"/>
  <c r="V146" i="20"/>
  <c r="Z146" i="20"/>
  <c r="AD146" i="20"/>
  <c r="AA146" i="20"/>
  <c r="W146" i="20"/>
  <c r="U147" i="20"/>
  <c r="Y147" i="20"/>
  <c r="AC147" i="20"/>
  <c r="V147" i="20"/>
  <c r="Z147" i="20"/>
  <c r="AD147" i="20"/>
  <c r="W147" i="20"/>
  <c r="AA147" i="20"/>
  <c r="T147" i="20"/>
  <c r="X147" i="20"/>
  <c r="AB147" i="20"/>
  <c r="V148" i="20"/>
  <c r="Z148" i="20"/>
  <c r="AD148" i="20"/>
  <c r="W148" i="20"/>
  <c r="AA148" i="20"/>
  <c r="T148" i="20"/>
  <c r="X148" i="20"/>
  <c r="AB148" i="20"/>
  <c r="U148" i="20"/>
  <c r="Y148" i="20"/>
  <c r="AC148" i="20"/>
  <c r="W149" i="20"/>
  <c r="AA149" i="20"/>
  <c r="T149" i="20"/>
  <c r="X149" i="20"/>
  <c r="AB149" i="20"/>
  <c r="U149" i="20"/>
  <c r="Y149" i="20"/>
  <c r="AC149" i="20"/>
  <c r="Z149" i="20"/>
  <c r="AD149" i="20"/>
  <c r="V149" i="20"/>
  <c r="T150" i="20"/>
  <c r="X150" i="20"/>
  <c r="AB150" i="20"/>
  <c r="U150" i="20"/>
  <c r="Y150" i="20"/>
  <c r="AC150" i="20"/>
  <c r="V150" i="20"/>
  <c r="Z150" i="20"/>
  <c r="AD150" i="20"/>
  <c r="W150" i="20"/>
  <c r="AA150" i="20"/>
  <c r="U151" i="20"/>
  <c r="Y151" i="20"/>
  <c r="AC151" i="20"/>
  <c r="V151" i="20"/>
  <c r="Z151" i="20"/>
  <c r="AD151" i="20"/>
  <c r="W151" i="20"/>
  <c r="AA151" i="20"/>
  <c r="T151" i="20"/>
  <c r="X151" i="20"/>
  <c r="AB151" i="20"/>
  <c r="V152" i="20"/>
  <c r="Z152" i="20"/>
  <c r="AD152" i="20"/>
  <c r="W152" i="20"/>
  <c r="AA152" i="20"/>
  <c r="T152" i="20"/>
  <c r="X152" i="20"/>
  <c r="AB152" i="20"/>
  <c r="Y152" i="20"/>
  <c r="AC152" i="20"/>
  <c r="U152" i="20"/>
  <c r="W153" i="20"/>
  <c r="AA153" i="20"/>
  <c r="T153" i="20"/>
  <c r="X153" i="20"/>
  <c r="AB153" i="20"/>
  <c r="U153" i="20"/>
  <c r="Y153" i="20"/>
  <c r="AC153" i="20"/>
  <c r="AD153" i="20"/>
  <c r="V153" i="20"/>
  <c r="Z153" i="20"/>
  <c r="V140" i="20"/>
  <c r="Z140" i="20"/>
  <c r="AD140" i="20"/>
  <c r="W140" i="20"/>
  <c r="AA140" i="20"/>
  <c r="T140" i="20"/>
  <c r="X140" i="20"/>
  <c r="AB140" i="20"/>
  <c r="AC140" i="20"/>
  <c r="U140" i="20"/>
  <c r="Y140" i="20"/>
  <c r="W141" i="20"/>
  <c r="AA141" i="20"/>
  <c r="T141" i="20"/>
  <c r="X141" i="20"/>
  <c r="AB141" i="20"/>
  <c r="U141" i="20"/>
  <c r="Y141" i="20"/>
  <c r="AC141" i="20"/>
  <c r="V141" i="20"/>
  <c r="Z141" i="20"/>
  <c r="AD141" i="20"/>
  <c r="T142" i="20"/>
  <c r="X142" i="20"/>
  <c r="AB142" i="20"/>
  <c r="U142" i="20"/>
  <c r="Y142" i="20"/>
  <c r="AC142" i="20"/>
  <c r="V142" i="20"/>
  <c r="Z142" i="20"/>
  <c r="AD142" i="20"/>
  <c r="W142" i="20"/>
  <c r="AA142" i="20"/>
  <c r="U135" i="20"/>
  <c r="Y135" i="20"/>
  <c r="AC135" i="20"/>
  <c r="V135" i="20"/>
  <c r="Z135" i="20"/>
  <c r="AD135" i="20"/>
  <c r="W135" i="20"/>
  <c r="AA135" i="20"/>
  <c r="T135" i="20"/>
  <c r="X135" i="20"/>
  <c r="AB135" i="20"/>
  <c r="V136" i="20"/>
  <c r="Z136" i="20"/>
  <c r="AD136" i="20"/>
  <c r="W136" i="20"/>
  <c r="AA136" i="20"/>
  <c r="T136" i="20"/>
  <c r="X136" i="20"/>
  <c r="AB136" i="20"/>
  <c r="Y136" i="20"/>
  <c r="AC136" i="20"/>
  <c r="U136" i="20"/>
  <c r="W137" i="20"/>
  <c r="AA137" i="20"/>
  <c r="T137" i="20"/>
  <c r="X137" i="20"/>
  <c r="AB137" i="20"/>
  <c r="U137" i="20"/>
  <c r="Y137" i="20"/>
  <c r="AC137" i="20"/>
  <c r="AD137" i="20"/>
  <c r="V137" i="20"/>
  <c r="Z137" i="20"/>
  <c r="T138" i="20"/>
  <c r="X138" i="20"/>
  <c r="AB138" i="20"/>
  <c r="U138" i="20"/>
  <c r="Y138" i="20"/>
  <c r="AC138" i="20"/>
  <c r="V138" i="20"/>
  <c r="Z138" i="20"/>
  <c r="AD138" i="20"/>
  <c r="W138" i="20"/>
  <c r="AA138" i="20"/>
  <c r="U139" i="20"/>
  <c r="Y139" i="20"/>
  <c r="AC139" i="20"/>
  <c r="V139" i="20"/>
  <c r="Z139" i="20"/>
  <c r="AD139" i="20"/>
  <c r="W139" i="20"/>
  <c r="AA139" i="20"/>
  <c r="X139" i="20"/>
  <c r="AB139" i="20"/>
  <c r="T139" i="20"/>
  <c r="W133" i="20"/>
  <c r="AA133" i="20"/>
  <c r="T133" i="20"/>
  <c r="X133" i="20"/>
  <c r="AB133" i="20"/>
  <c r="U133" i="20"/>
  <c r="Y133" i="20"/>
  <c r="AC133" i="20"/>
  <c r="Z133" i="20"/>
  <c r="AD133" i="20"/>
  <c r="V133" i="20"/>
  <c r="T134" i="20"/>
  <c r="X134" i="20"/>
  <c r="AB134" i="20"/>
  <c r="U134" i="20"/>
  <c r="Y134" i="20"/>
  <c r="AC134" i="20"/>
  <c r="V134" i="20"/>
  <c r="Z134" i="20"/>
  <c r="AD134" i="20"/>
  <c r="W134" i="20"/>
  <c r="AA134" i="20"/>
  <c r="U131" i="20"/>
  <c r="Y131" i="20"/>
  <c r="AC131" i="20"/>
  <c r="V131" i="20"/>
  <c r="Z131" i="20"/>
  <c r="AD131" i="20"/>
  <c r="W131" i="20"/>
  <c r="AA131" i="20"/>
  <c r="T131" i="20"/>
  <c r="X131" i="20"/>
  <c r="AB131" i="20"/>
  <c r="V132" i="20"/>
  <c r="Z132" i="20"/>
  <c r="AD132" i="20"/>
  <c r="W132" i="20"/>
  <c r="AA132" i="20"/>
  <c r="T132" i="20"/>
  <c r="X132" i="20"/>
  <c r="AB132" i="20"/>
  <c r="U132" i="20"/>
  <c r="Y132" i="20"/>
  <c r="AC132" i="20"/>
  <c r="T130" i="20"/>
  <c r="X130" i="20"/>
  <c r="AB130" i="20"/>
  <c r="U130" i="20"/>
  <c r="Y130" i="20"/>
  <c r="AC130" i="20"/>
  <c r="V130" i="20"/>
  <c r="Z130" i="20"/>
  <c r="AD130" i="20"/>
  <c r="AA130" i="20"/>
  <c r="W130" i="20"/>
  <c r="W129" i="20"/>
  <c r="AA129" i="20"/>
  <c r="T129" i="20"/>
  <c r="X129" i="20"/>
  <c r="AB129" i="20"/>
  <c r="U129" i="20"/>
  <c r="Y129" i="20"/>
  <c r="AC129" i="20"/>
  <c r="V129" i="20"/>
  <c r="Z129" i="20"/>
  <c r="AD129" i="20"/>
  <c r="V128" i="20"/>
  <c r="Z128" i="20"/>
  <c r="AD128" i="20"/>
  <c r="W128" i="20"/>
  <c r="AA128" i="20"/>
  <c r="T128" i="20"/>
  <c r="X128" i="20"/>
  <c r="AB128" i="20"/>
  <c r="U128" i="20"/>
  <c r="Y128" i="20"/>
  <c r="AC128" i="20"/>
  <c r="U127" i="20"/>
  <c r="Y127" i="20"/>
  <c r="AC127" i="20"/>
  <c r="V127" i="20"/>
  <c r="Z127" i="20"/>
  <c r="AD127" i="20"/>
  <c r="W127" i="20"/>
  <c r="AA127" i="20"/>
  <c r="AB127" i="20"/>
  <c r="T127" i="20"/>
  <c r="X127" i="20"/>
  <c r="T126" i="20"/>
  <c r="X126" i="20"/>
  <c r="AB126" i="20"/>
  <c r="U126" i="20"/>
  <c r="Y126" i="20"/>
  <c r="AC126" i="20"/>
  <c r="V126" i="20"/>
  <c r="Z126" i="20"/>
  <c r="AD126" i="20"/>
  <c r="W126" i="20"/>
  <c r="AA126" i="20"/>
  <c r="W125" i="20"/>
  <c r="AA125" i="20"/>
  <c r="T125" i="20"/>
  <c r="X125" i="20"/>
  <c r="AB125" i="20"/>
  <c r="U125" i="20"/>
  <c r="Y125" i="20"/>
  <c r="AC125" i="20"/>
  <c r="V125" i="20"/>
  <c r="Z125" i="20"/>
  <c r="AD125" i="20"/>
  <c r="V124" i="20"/>
  <c r="Z124" i="20"/>
  <c r="AD124" i="20"/>
  <c r="W124" i="20"/>
  <c r="AA124" i="20"/>
  <c r="T124" i="20"/>
  <c r="X124" i="20"/>
  <c r="AB124" i="20"/>
  <c r="AC124" i="20"/>
  <c r="U124" i="20"/>
  <c r="Y124" i="20"/>
  <c r="U123" i="20"/>
  <c r="Y123" i="20"/>
  <c r="AC123" i="20"/>
  <c r="V123" i="20"/>
  <c r="Z123" i="20"/>
  <c r="AD123" i="20"/>
  <c r="W123" i="20"/>
  <c r="AA123" i="20"/>
  <c r="X123" i="20"/>
  <c r="AB123" i="20"/>
  <c r="T123" i="20"/>
  <c r="W121" i="20"/>
  <c r="AA121" i="20"/>
  <c r="T121" i="20"/>
  <c r="X121" i="20"/>
  <c r="AB121" i="20"/>
  <c r="U121" i="20"/>
  <c r="Y121" i="20"/>
  <c r="AC121" i="20"/>
  <c r="AD121" i="20"/>
  <c r="V121" i="20"/>
  <c r="Z121" i="20"/>
  <c r="T122" i="20"/>
  <c r="X122" i="20"/>
  <c r="AB122" i="20"/>
  <c r="U122" i="20"/>
  <c r="Y122" i="20"/>
  <c r="AC122" i="20"/>
  <c r="V122" i="20"/>
  <c r="Z122" i="20"/>
  <c r="AD122" i="20"/>
  <c r="W122" i="20"/>
  <c r="AA122" i="20"/>
  <c r="U119" i="20"/>
  <c r="Y119" i="20"/>
  <c r="AC119" i="20"/>
  <c r="V119" i="20"/>
  <c r="Z119" i="20"/>
  <c r="AD119" i="20"/>
  <c r="W119" i="20"/>
  <c r="AA119" i="20"/>
  <c r="T119" i="20"/>
  <c r="X119" i="20"/>
  <c r="AB119" i="20"/>
  <c r="V120" i="20"/>
  <c r="Z120" i="20"/>
  <c r="AD120" i="20"/>
  <c r="W120" i="20"/>
  <c r="AA120" i="20"/>
  <c r="T120" i="20"/>
  <c r="X120" i="20"/>
  <c r="AB120" i="20"/>
  <c r="Y120" i="20"/>
  <c r="AC120" i="20"/>
  <c r="U120" i="20"/>
  <c r="U115" i="20"/>
  <c r="Y115" i="20"/>
  <c r="AC115" i="20"/>
  <c r="V115" i="20"/>
  <c r="Z115" i="20"/>
  <c r="AD115" i="20"/>
  <c r="W115" i="20"/>
  <c r="AA115" i="20"/>
  <c r="T115" i="20"/>
  <c r="X115" i="20"/>
  <c r="AB115" i="20"/>
  <c r="V116" i="20"/>
  <c r="Z116" i="20"/>
  <c r="AD116" i="20"/>
  <c r="W116" i="20"/>
  <c r="AA116" i="20"/>
  <c r="T116" i="20"/>
  <c r="X116" i="20"/>
  <c r="AB116" i="20"/>
  <c r="U116" i="20"/>
  <c r="Y116" i="20"/>
  <c r="AC116" i="20"/>
  <c r="W117" i="20"/>
  <c r="AA117" i="20"/>
  <c r="T117" i="20"/>
  <c r="X117" i="20"/>
  <c r="AB117" i="20"/>
  <c r="U117" i="20"/>
  <c r="Y117" i="20"/>
  <c r="AC117" i="20"/>
  <c r="Z117" i="20"/>
  <c r="AD117" i="20"/>
  <c r="V117" i="20"/>
  <c r="T118" i="20"/>
  <c r="X118" i="20"/>
  <c r="AB118" i="20"/>
  <c r="U118" i="20"/>
  <c r="Y118" i="20"/>
  <c r="AC118" i="20"/>
  <c r="V118" i="20"/>
  <c r="Z118" i="20"/>
  <c r="AD118" i="20"/>
  <c r="W118" i="20"/>
  <c r="AA118" i="20"/>
  <c r="T110" i="20"/>
  <c r="X110" i="20"/>
  <c r="AB110" i="20"/>
  <c r="U110" i="20"/>
  <c r="Y110" i="20"/>
  <c r="AC110" i="20"/>
  <c r="V110" i="20"/>
  <c r="Z110" i="20"/>
  <c r="AD110" i="20"/>
  <c r="W110" i="20"/>
  <c r="AA110" i="20"/>
  <c r="U111" i="20"/>
  <c r="Y111" i="20"/>
  <c r="AC111" i="20"/>
  <c r="V111" i="20"/>
  <c r="Z111" i="20"/>
  <c r="AD111" i="20"/>
  <c r="W111" i="20"/>
  <c r="AA111" i="20"/>
  <c r="AB111" i="20"/>
  <c r="T111" i="20"/>
  <c r="X111" i="20"/>
  <c r="V112" i="20"/>
  <c r="Z112" i="20"/>
  <c r="AD112" i="20"/>
  <c r="W112" i="20"/>
  <c r="AA112" i="20"/>
  <c r="T112" i="20"/>
  <c r="X112" i="20"/>
  <c r="AB112" i="20"/>
  <c r="U112" i="20"/>
  <c r="Y112" i="20"/>
  <c r="AC112" i="20"/>
  <c r="W113" i="20"/>
  <c r="AA113" i="20"/>
  <c r="T113" i="20"/>
  <c r="X113" i="20"/>
  <c r="AB113" i="20"/>
  <c r="U113" i="20"/>
  <c r="Y113" i="20"/>
  <c r="AC113" i="20"/>
  <c r="V113" i="20"/>
  <c r="Z113" i="20"/>
  <c r="AD113" i="20"/>
  <c r="T114" i="20"/>
  <c r="X114" i="20"/>
  <c r="AB114" i="20"/>
  <c r="U114" i="20"/>
  <c r="Y114" i="20"/>
  <c r="AC114" i="20"/>
  <c r="V114" i="20"/>
  <c r="Z114" i="20"/>
  <c r="AD114" i="20"/>
  <c r="AA114" i="20"/>
  <c r="W114" i="20"/>
  <c r="W109" i="20"/>
  <c r="AA109" i="20"/>
  <c r="T109" i="20"/>
  <c r="X109" i="20"/>
  <c r="AB109" i="20"/>
  <c r="U109" i="20"/>
  <c r="Y109" i="20"/>
  <c r="AC109" i="20"/>
  <c r="V109" i="20"/>
  <c r="Z109" i="20"/>
  <c r="AD109" i="20"/>
  <c r="V108" i="20"/>
  <c r="Z108" i="20"/>
  <c r="AD108" i="20"/>
  <c r="W108" i="20"/>
  <c r="AA108" i="20"/>
  <c r="T108" i="20"/>
  <c r="X108" i="20"/>
  <c r="AB108" i="20"/>
  <c r="AC108" i="20"/>
  <c r="U108" i="20"/>
  <c r="Y108" i="20"/>
  <c r="T106" i="20"/>
  <c r="X106" i="20"/>
  <c r="AB106" i="20"/>
  <c r="U106" i="20"/>
  <c r="Y106" i="20"/>
  <c r="AC106" i="20"/>
  <c r="V106" i="20"/>
  <c r="Z106" i="20"/>
  <c r="AD106" i="20"/>
  <c r="W106" i="20"/>
  <c r="AA106" i="20"/>
  <c r="U107" i="20"/>
  <c r="Y107" i="20"/>
  <c r="AC107" i="20"/>
  <c r="V107" i="20"/>
  <c r="Z107" i="20"/>
  <c r="AD107" i="20"/>
  <c r="W107" i="20"/>
  <c r="AA107" i="20"/>
  <c r="X107" i="20"/>
  <c r="AB107" i="20"/>
  <c r="T107" i="20"/>
  <c r="W105" i="20"/>
  <c r="AA105" i="20"/>
  <c r="T105" i="20"/>
  <c r="X105" i="20"/>
  <c r="AB105" i="20"/>
  <c r="U105" i="20"/>
  <c r="Y105" i="20"/>
  <c r="AC105" i="20"/>
  <c r="AD105" i="20"/>
  <c r="V105" i="20"/>
  <c r="Z105" i="20"/>
  <c r="U103" i="20"/>
  <c r="Y103" i="20"/>
  <c r="AC103" i="20"/>
  <c r="V103" i="20"/>
  <c r="Z103" i="20"/>
  <c r="AD103" i="20"/>
  <c r="W103" i="20"/>
  <c r="AA103" i="20"/>
  <c r="T103" i="20"/>
  <c r="X103" i="20"/>
  <c r="AB103" i="20"/>
  <c r="V104" i="20"/>
  <c r="Z104" i="20"/>
  <c r="AD104" i="20"/>
  <c r="W104" i="20"/>
  <c r="AA104" i="20"/>
  <c r="T104" i="20"/>
  <c r="X104" i="20"/>
  <c r="AB104" i="20"/>
  <c r="Y104" i="20"/>
  <c r="AC104" i="20"/>
  <c r="U104" i="20"/>
  <c r="U100" i="20"/>
  <c r="Y100" i="20"/>
  <c r="AC100" i="20"/>
  <c r="V100" i="20"/>
  <c r="Z100" i="20"/>
  <c r="AD100" i="20"/>
  <c r="T100" i="20"/>
  <c r="AB100" i="20"/>
  <c r="W100" i="20"/>
  <c r="X100" i="20"/>
  <c r="AA100" i="20"/>
  <c r="V101" i="20"/>
  <c r="Z101" i="20"/>
  <c r="AD101" i="20"/>
  <c r="W101" i="20"/>
  <c r="AA101" i="20"/>
  <c r="Y101" i="20"/>
  <c r="T101" i="20"/>
  <c r="AB101" i="20"/>
  <c r="U101" i="20"/>
  <c r="AC101" i="20"/>
  <c r="X101" i="20"/>
  <c r="W102" i="20"/>
  <c r="T102" i="20"/>
  <c r="X102" i="20"/>
  <c r="V102" i="20"/>
  <c r="AB102" i="20"/>
  <c r="Y102" i="20"/>
  <c r="AC102" i="20"/>
  <c r="Z102" i="20"/>
  <c r="AD102" i="20"/>
  <c r="U102" i="20"/>
  <c r="AA102" i="20"/>
  <c r="W98" i="20"/>
  <c r="AA98" i="20"/>
  <c r="T98" i="20"/>
  <c r="X98" i="20"/>
  <c r="AB98" i="20"/>
  <c r="Z98" i="20"/>
  <c r="U98" i="20"/>
  <c r="AC98" i="20"/>
  <c r="V98" i="20"/>
  <c r="AD98" i="20"/>
  <c r="Y98" i="20"/>
  <c r="T99" i="20"/>
  <c r="X99" i="20"/>
  <c r="AB99" i="20"/>
  <c r="U99" i="20"/>
  <c r="Y99" i="20"/>
  <c r="AC99" i="20"/>
  <c r="W99" i="20"/>
  <c r="Z99" i="20"/>
  <c r="AA99" i="20"/>
  <c r="V99" i="20"/>
  <c r="AD99" i="20"/>
  <c r="V97" i="20"/>
  <c r="Z97" i="20"/>
  <c r="AD97" i="20"/>
  <c r="W97" i="20"/>
  <c r="AA97" i="20"/>
  <c r="U97" i="20"/>
  <c r="Y97" i="20"/>
  <c r="AC97" i="20"/>
  <c r="AB97" i="20"/>
  <c r="T97" i="20"/>
  <c r="X97" i="20"/>
  <c r="T95" i="20"/>
  <c r="X95" i="20"/>
  <c r="AB95" i="20"/>
  <c r="U95" i="20"/>
  <c r="Y95" i="20"/>
  <c r="AC95" i="20"/>
  <c r="W95" i="20"/>
  <c r="AA95" i="20"/>
  <c r="V95" i="20"/>
  <c r="Z95" i="20"/>
  <c r="AD95" i="20"/>
  <c r="U96" i="20"/>
  <c r="Y96" i="20"/>
  <c r="AC96" i="20"/>
  <c r="V96" i="20"/>
  <c r="Z96" i="20"/>
  <c r="AD96" i="20"/>
  <c r="T96" i="20"/>
  <c r="X96" i="20"/>
  <c r="AB96" i="20"/>
  <c r="W96" i="20"/>
  <c r="AA96" i="20"/>
  <c r="V93" i="20"/>
  <c r="Z93" i="20"/>
  <c r="AD93" i="20"/>
  <c r="W93" i="20"/>
  <c r="AA93" i="20"/>
  <c r="U93" i="20"/>
  <c r="Y93" i="20"/>
  <c r="AC93" i="20"/>
  <c r="X93" i="20"/>
  <c r="AB93" i="20"/>
  <c r="T93" i="20"/>
  <c r="W94" i="20"/>
  <c r="AA94" i="20"/>
  <c r="T94" i="20"/>
  <c r="X94" i="20"/>
  <c r="AB94" i="20"/>
  <c r="V94" i="20"/>
  <c r="Z94" i="20"/>
  <c r="AD94" i="20"/>
  <c r="AC94" i="20"/>
  <c r="U94" i="20"/>
  <c r="Y94" i="20"/>
  <c r="U92" i="20"/>
  <c r="Y92" i="20"/>
  <c r="AC92" i="20"/>
  <c r="V92" i="20"/>
  <c r="Z92" i="20"/>
  <c r="AD92" i="20"/>
  <c r="T92" i="20"/>
  <c r="X92" i="20"/>
  <c r="AB92" i="20"/>
  <c r="W92" i="20"/>
  <c r="AA92" i="20"/>
  <c r="U88" i="20"/>
  <c r="Y88" i="20"/>
  <c r="AC88" i="20"/>
  <c r="V88" i="20"/>
  <c r="Z88" i="20"/>
  <c r="AD88" i="20"/>
  <c r="T88" i="20"/>
  <c r="X88" i="20"/>
  <c r="AB88" i="20"/>
  <c r="W88" i="20"/>
  <c r="AA88" i="20"/>
  <c r="V89" i="20"/>
  <c r="Z89" i="20"/>
  <c r="AD89" i="20"/>
  <c r="W89" i="20"/>
  <c r="AA89" i="20"/>
  <c r="U89" i="20"/>
  <c r="Y89" i="20"/>
  <c r="AC89" i="20"/>
  <c r="T89" i="20"/>
  <c r="X89" i="20"/>
  <c r="AB89" i="20"/>
  <c r="W90" i="20"/>
  <c r="AA90" i="20"/>
  <c r="T90" i="20"/>
  <c r="X90" i="20"/>
  <c r="AB90" i="20"/>
  <c r="V90" i="20"/>
  <c r="Z90" i="20"/>
  <c r="AD90" i="20"/>
  <c r="Y90" i="20"/>
  <c r="AC90" i="20"/>
  <c r="U90" i="20"/>
  <c r="T91" i="20"/>
  <c r="X91" i="20"/>
  <c r="AB91" i="20"/>
  <c r="U91" i="20"/>
  <c r="Y91" i="20"/>
  <c r="AC91" i="20"/>
  <c r="W91" i="20"/>
  <c r="AA91" i="20"/>
  <c r="AD91" i="20"/>
  <c r="V91" i="20"/>
  <c r="Z91" i="20"/>
  <c r="T87" i="20"/>
  <c r="X87" i="20"/>
  <c r="AB87" i="20"/>
  <c r="U87" i="20"/>
  <c r="Y87" i="20"/>
  <c r="AC87" i="20"/>
  <c r="W87" i="20"/>
  <c r="AA87" i="20"/>
  <c r="Z87" i="20"/>
  <c r="AD87" i="20"/>
  <c r="V87" i="20"/>
  <c r="W86" i="20"/>
  <c r="AA86" i="20"/>
  <c r="T86" i="20"/>
  <c r="X86" i="20"/>
  <c r="AB86" i="20"/>
  <c r="V86" i="20"/>
  <c r="Z86" i="20"/>
  <c r="AD86" i="20"/>
  <c r="U86" i="20"/>
  <c r="Y86" i="20"/>
  <c r="AC86" i="20"/>
  <c r="V85" i="20"/>
  <c r="Z85" i="20"/>
  <c r="AD85" i="20"/>
  <c r="W85" i="20"/>
  <c r="AA85" i="20"/>
  <c r="U85" i="20"/>
  <c r="Y85" i="20"/>
  <c r="AC85" i="20"/>
  <c r="T85" i="20"/>
  <c r="X85" i="20"/>
  <c r="AB85" i="20"/>
  <c r="W82" i="20"/>
  <c r="AA82" i="20"/>
  <c r="T82" i="20"/>
  <c r="X82" i="20"/>
  <c r="AB82" i="20"/>
  <c r="V82" i="20"/>
  <c r="Z82" i="20"/>
  <c r="AD82" i="20"/>
  <c r="U82" i="20"/>
  <c r="Y82" i="20"/>
  <c r="AC82" i="20"/>
  <c r="T83" i="20"/>
  <c r="X83" i="20"/>
  <c r="AB83" i="20"/>
  <c r="U83" i="20"/>
  <c r="Y83" i="20"/>
  <c r="AC83" i="20"/>
  <c r="W83" i="20"/>
  <c r="AA83" i="20"/>
  <c r="V83" i="20"/>
  <c r="Z83" i="20"/>
  <c r="AD83" i="20"/>
  <c r="U84" i="20"/>
  <c r="Y84" i="20"/>
  <c r="AC84" i="20"/>
  <c r="V84" i="20"/>
  <c r="Z84" i="20"/>
  <c r="AD84" i="20"/>
  <c r="T84" i="20"/>
  <c r="X84" i="20"/>
  <c r="AB84" i="20"/>
  <c r="AA84" i="20"/>
  <c r="W84" i="20"/>
  <c r="W69" i="20"/>
  <c r="AA69" i="20"/>
  <c r="T69" i="20"/>
  <c r="X69" i="20"/>
  <c r="AB69" i="20"/>
  <c r="Y69" i="20"/>
  <c r="Z69" i="20"/>
  <c r="V69" i="20"/>
  <c r="AD69" i="20"/>
  <c r="U69" i="20"/>
  <c r="AC69" i="20"/>
  <c r="T70" i="20"/>
  <c r="X70" i="20"/>
  <c r="AB70" i="20"/>
  <c r="U70" i="20"/>
  <c r="Y70" i="20"/>
  <c r="AC70" i="20"/>
  <c r="V70" i="20"/>
  <c r="AD70" i="20"/>
  <c r="W70" i="20"/>
  <c r="AA70" i="20"/>
  <c r="Z70" i="20"/>
  <c r="V68" i="20"/>
  <c r="Z68" i="20"/>
  <c r="AD68" i="20"/>
  <c r="W68" i="20"/>
  <c r="AA68" i="20"/>
  <c r="T68" i="20"/>
  <c r="AB68" i="20"/>
  <c r="U68" i="20"/>
  <c r="AC68" i="20"/>
  <c r="Y68" i="20"/>
  <c r="X68" i="20"/>
  <c r="U67" i="20"/>
  <c r="Y67" i="20"/>
  <c r="AC67" i="20"/>
  <c r="V67" i="20"/>
  <c r="Z67" i="20"/>
  <c r="AD67" i="20"/>
  <c r="W67" i="20"/>
  <c r="X67" i="20"/>
  <c r="T67" i="20"/>
  <c r="AB67" i="20"/>
  <c r="AA67" i="20"/>
  <c r="U63" i="20"/>
  <c r="Y63" i="20"/>
  <c r="AC63" i="20"/>
  <c r="V63" i="20"/>
  <c r="AA63" i="20"/>
  <c r="W63" i="20"/>
  <c r="AB63" i="20"/>
  <c r="AD63" i="20"/>
  <c r="T63" i="20"/>
  <c r="Z63" i="20"/>
  <c r="X63" i="20"/>
  <c r="T62" i="20"/>
  <c r="X62" i="20"/>
  <c r="AB62" i="20"/>
  <c r="U62" i="20"/>
  <c r="Z62" i="20"/>
  <c r="V62" i="20"/>
  <c r="AA62" i="20"/>
  <c r="W62" i="20"/>
  <c r="AC62" i="20"/>
  <c r="AD62" i="20"/>
  <c r="Y62" i="20"/>
  <c r="U59" i="20"/>
  <c r="Y59" i="20"/>
  <c r="AC59" i="20"/>
  <c r="V59" i="20"/>
  <c r="AA59" i="20"/>
  <c r="W59" i="20"/>
  <c r="AB59" i="20"/>
  <c r="X59" i="20"/>
  <c r="AD59" i="20"/>
  <c r="T59" i="20"/>
  <c r="Z59" i="20"/>
  <c r="U55" i="20"/>
  <c r="Y55" i="20"/>
  <c r="AC55" i="20"/>
  <c r="W55" i="20"/>
  <c r="AB55" i="20"/>
  <c r="X55" i="20"/>
  <c r="AD55" i="20"/>
  <c r="T55" i="20"/>
  <c r="Z55" i="20"/>
  <c r="V55" i="20"/>
  <c r="AA55" i="20"/>
  <c r="T66" i="20"/>
  <c r="X66" i="20"/>
  <c r="AB66" i="20"/>
  <c r="U66" i="20"/>
  <c r="Y66" i="20"/>
  <c r="AC66" i="20"/>
  <c r="Z66" i="20"/>
  <c r="AA66" i="20"/>
  <c r="W66" i="20"/>
  <c r="V66" i="20"/>
  <c r="AD66" i="20"/>
  <c r="U71" i="20"/>
  <c r="Y71" i="20"/>
  <c r="AC71" i="20"/>
  <c r="V71" i="20"/>
  <c r="Z71" i="20"/>
  <c r="AD71" i="20"/>
  <c r="AA71" i="20"/>
  <c r="T71" i="20"/>
  <c r="AB71" i="20"/>
  <c r="X71" i="20"/>
  <c r="W71" i="20"/>
  <c r="V72" i="20"/>
  <c r="Z72" i="20"/>
  <c r="AD72" i="20"/>
  <c r="W72" i="20"/>
  <c r="AA72" i="20"/>
  <c r="X72" i="20"/>
  <c r="Y72" i="20"/>
  <c r="U72" i="20"/>
  <c r="AC72" i="20"/>
  <c r="T72" i="20"/>
  <c r="AB72" i="20"/>
  <c r="W73" i="20"/>
  <c r="AA73" i="20"/>
  <c r="T73" i="20"/>
  <c r="X73" i="20"/>
  <c r="AB73" i="20"/>
  <c r="U73" i="20"/>
  <c r="AC73" i="20"/>
  <c r="V73" i="20"/>
  <c r="AD73" i="20"/>
  <c r="Z73" i="20"/>
  <c r="Y73" i="20"/>
  <c r="T74" i="20"/>
  <c r="X74" i="20"/>
  <c r="AB74" i="20"/>
  <c r="U74" i="20"/>
  <c r="Y74" i="20"/>
  <c r="AC74" i="20"/>
  <c r="Z74" i="20"/>
  <c r="AA74" i="20"/>
  <c r="W74" i="20"/>
  <c r="V74" i="20"/>
  <c r="AD74" i="20"/>
  <c r="U75" i="20"/>
  <c r="Y75" i="20"/>
  <c r="AC75" i="20"/>
  <c r="V75" i="20"/>
  <c r="Z75" i="20"/>
  <c r="AD75" i="20"/>
  <c r="W75" i="20"/>
  <c r="X75" i="20"/>
  <c r="T75" i="20"/>
  <c r="AB75" i="20"/>
  <c r="AA75" i="20"/>
  <c r="V76" i="20"/>
  <c r="Z76" i="20"/>
  <c r="AD76" i="20"/>
  <c r="W76" i="20"/>
  <c r="AA76" i="20"/>
  <c r="T76" i="20"/>
  <c r="AB76" i="20"/>
  <c r="U76" i="20"/>
  <c r="AC76" i="20"/>
  <c r="Y76" i="20"/>
  <c r="X76" i="20"/>
  <c r="W77" i="20"/>
  <c r="AA77" i="20"/>
  <c r="T77" i="20"/>
  <c r="X77" i="20"/>
  <c r="AB77" i="20"/>
  <c r="Y77" i="20"/>
  <c r="Z77" i="20"/>
  <c r="V77" i="20"/>
  <c r="AD77" i="20"/>
  <c r="U77" i="20"/>
  <c r="AC77" i="20"/>
  <c r="T78" i="20"/>
  <c r="X78" i="20"/>
  <c r="U78" i="20"/>
  <c r="V78" i="20"/>
  <c r="AA78" i="20"/>
  <c r="W78" i="20"/>
  <c r="AB78" i="20"/>
  <c r="Z78" i="20"/>
  <c r="AD78" i="20"/>
  <c r="AC78" i="20"/>
  <c r="Y78" i="20"/>
  <c r="T79" i="20"/>
  <c r="X79" i="20"/>
  <c r="AB79" i="20"/>
  <c r="U79" i="20"/>
  <c r="Y79" i="20"/>
  <c r="AC79" i="20"/>
  <c r="W79" i="20"/>
  <c r="AA79" i="20"/>
  <c r="V79" i="20"/>
  <c r="Z79" i="20"/>
  <c r="AD79" i="20"/>
  <c r="U80" i="20"/>
  <c r="Y80" i="20"/>
  <c r="AC80" i="20"/>
  <c r="V80" i="20"/>
  <c r="Z80" i="20"/>
  <c r="AD80" i="20"/>
  <c r="T80" i="20"/>
  <c r="X80" i="20"/>
  <c r="AB80" i="20"/>
  <c r="W80" i="20"/>
  <c r="AA80" i="20"/>
  <c r="V81" i="20"/>
  <c r="Z81" i="20"/>
  <c r="AD81" i="20"/>
  <c r="W81" i="20"/>
  <c r="AA81" i="20"/>
  <c r="U81" i="20"/>
  <c r="Y81" i="20"/>
  <c r="AC81" i="20"/>
  <c r="AB81" i="20"/>
  <c r="T81" i="20"/>
  <c r="X81" i="20"/>
  <c r="U52" i="20"/>
  <c r="Y52" i="20"/>
  <c r="AC52" i="20"/>
  <c r="V52" i="20"/>
  <c r="Z52" i="20"/>
  <c r="AD52" i="20"/>
  <c r="AA52" i="20"/>
  <c r="T52" i="20"/>
  <c r="AB52" i="20"/>
  <c r="W52" i="20"/>
  <c r="X52" i="20"/>
  <c r="W57" i="20"/>
  <c r="AA57" i="20"/>
  <c r="V57" i="20"/>
  <c r="AB57" i="20"/>
  <c r="X57" i="20"/>
  <c r="AC57" i="20"/>
  <c r="T57" i="20"/>
  <c r="Y57" i="20"/>
  <c r="AD57" i="20"/>
  <c r="U57" i="20"/>
  <c r="Z57" i="20"/>
  <c r="W50" i="20"/>
  <c r="AA50" i="20"/>
  <c r="T50" i="20"/>
  <c r="X50" i="20"/>
  <c r="AB50" i="20"/>
  <c r="Y50" i="20"/>
  <c r="Z50" i="20"/>
  <c r="U50" i="20"/>
  <c r="AC50" i="20"/>
  <c r="V50" i="20"/>
  <c r="AD50" i="20"/>
  <c r="T47" i="20"/>
  <c r="X47" i="20"/>
  <c r="AB47" i="20"/>
  <c r="U47" i="20"/>
  <c r="Y47" i="20"/>
  <c r="AC47" i="20"/>
  <c r="Z47" i="20"/>
  <c r="AA47" i="20"/>
  <c r="V47" i="20"/>
  <c r="AD47" i="20"/>
  <c r="W47" i="20"/>
  <c r="T58" i="20"/>
  <c r="X58" i="20"/>
  <c r="AB58" i="20"/>
  <c r="V58" i="20"/>
  <c r="AA58" i="20"/>
  <c r="W58" i="20"/>
  <c r="AC58" i="20"/>
  <c r="Y58" i="20"/>
  <c r="AD58" i="20"/>
  <c r="Z58" i="20"/>
  <c r="U58" i="20"/>
  <c r="T51" i="20"/>
  <c r="X51" i="20"/>
  <c r="AB51" i="20"/>
  <c r="U51" i="20"/>
  <c r="Y51" i="20"/>
  <c r="AC51" i="20"/>
  <c r="V51" i="20"/>
  <c r="AD51" i="20"/>
  <c r="W51" i="20"/>
  <c r="Z51" i="20"/>
  <c r="AA51" i="20"/>
  <c r="U48" i="20"/>
  <c r="Y48" i="20"/>
  <c r="AC48" i="20"/>
  <c r="V48" i="20"/>
  <c r="Z48" i="20"/>
  <c r="AD48" i="20"/>
  <c r="W48" i="20"/>
  <c r="X48" i="20"/>
  <c r="AA48" i="20"/>
  <c r="T48" i="20"/>
  <c r="AB48" i="20"/>
  <c r="W46" i="20"/>
  <c r="AA46" i="20"/>
  <c r="T46" i="20"/>
  <c r="X46" i="20"/>
  <c r="AB46" i="20"/>
  <c r="U46" i="20"/>
  <c r="AC46" i="20"/>
  <c r="V46" i="20"/>
  <c r="AD46" i="20"/>
  <c r="Y46" i="20"/>
  <c r="Z46" i="20"/>
  <c r="T54" i="20"/>
  <c r="X54" i="20"/>
  <c r="AB54" i="20"/>
  <c r="W54" i="20"/>
  <c r="AC54" i="20"/>
  <c r="Y54" i="20"/>
  <c r="AD54" i="20"/>
  <c r="U54" i="20"/>
  <c r="Z54" i="20"/>
  <c r="AA54" i="20"/>
  <c r="V54" i="20"/>
  <c r="V64" i="20"/>
  <c r="Z64" i="20"/>
  <c r="AD64" i="20"/>
  <c r="U64" i="20"/>
  <c r="AA64" i="20"/>
  <c r="W64" i="20"/>
  <c r="AB64" i="20"/>
  <c r="AC64" i="20"/>
  <c r="T64" i="20"/>
  <c r="Y64" i="20"/>
  <c r="X64" i="20"/>
  <c r="W65" i="20"/>
  <c r="AA65" i="20"/>
  <c r="U65" i="20"/>
  <c r="Z65" i="20"/>
  <c r="V65" i="20"/>
  <c r="AB65" i="20"/>
  <c r="AC65" i="20"/>
  <c r="T65" i="20"/>
  <c r="AD65" i="20"/>
  <c r="Y65" i="20"/>
  <c r="X65" i="20"/>
  <c r="V53" i="20"/>
  <c r="W53" i="20"/>
  <c r="AA53" i="20"/>
  <c r="X53" i="20"/>
  <c r="AC53" i="20"/>
  <c r="Y53" i="20"/>
  <c r="AD53" i="20"/>
  <c r="T53" i="20"/>
  <c r="Z53" i="20"/>
  <c r="U53" i="20"/>
  <c r="AB53" i="20"/>
  <c r="M32" i="37"/>
  <c r="AC6" i="20"/>
  <c r="T142" i="19"/>
  <c r="T6" i="20"/>
  <c r="U6" i="20"/>
  <c r="V6" i="20"/>
  <c r="W6" i="20"/>
  <c r="X6" i="20"/>
  <c r="Y6" i="20"/>
  <c r="Z6" i="20"/>
  <c r="AA6" i="20"/>
  <c r="AB6" i="20"/>
  <c r="AD6" i="20"/>
  <c r="N6" i="36"/>
  <c r="N32" i="37"/>
  <c r="I32" i="37"/>
  <c r="F32" i="37"/>
  <c r="J32" i="37"/>
  <c r="E32" i="37"/>
  <c r="I16" i="36"/>
  <c r="K16" i="36"/>
  <c r="H16" i="36"/>
  <c r="B17" i="37"/>
  <c r="E6" i="43" s="1"/>
  <c r="F21" i="43" s="1"/>
  <c r="AN17" i="40"/>
  <c r="L14" i="40" s="1"/>
  <c r="C17" i="37"/>
  <c r="B16" i="36"/>
  <c r="E16" i="36"/>
  <c r="G16" i="36"/>
  <c r="L14" i="36"/>
  <c r="L6" i="36"/>
  <c r="D16" i="36"/>
  <c r="F16" i="36"/>
  <c r="J16" i="36"/>
  <c r="M16" i="36"/>
  <c r="L12" i="36"/>
  <c r="Y142" i="19"/>
  <c r="L15" i="36"/>
  <c r="L8" i="36"/>
  <c r="L7" i="36"/>
  <c r="L13" i="36"/>
  <c r="L11" i="36"/>
  <c r="S7" i="36"/>
  <c r="S10" i="36"/>
  <c r="S11" i="36"/>
  <c r="S14" i="36"/>
  <c r="S15" i="36"/>
  <c r="D28" i="62"/>
  <c r="AR34" i="40"/>
  <c r="AV29" i="40"/>
  <c r="AV33" i="40"/>
  <c r="N27" i="40" s="1"/>
  <c r="AO17" i="40"/>
  <c r="M14" i="40" s="1"/>
  <c r="AS34" i="40"/>
  <c r="AU34" i="40"/>
  <c r="AQ30" i="40"/>
  <c r="B28" i="62"/>
  <c r="C28" i="62"/>
  <c r="AL17" i="40"/>
  <c r="J14" i="40" s="1"/>
  <c r="K28" i="40"/>
  <c r="AO34" i="40"/>
  <c r="M13" i="40" s="1"/>
  <c r="AQ25" i="40"/>
  <c r="AP34" i="40"/>
  <c r="N13" i="40" s="1"/>
  <c r="AM34" i="40"/>
  <c r="K13" i="40" s="1"/>
  <c r="AQ27" i="40"/>
  <c r="AQ28" i="40"/>
  <c r="AQ31" i="40"/>
  <c r="AQ32" i="40"/>
  <c r="G25" i="37"/>
  <c r="AN34" i="40"/>
  <c r="L13" i="40" s="1"/>
  <c r="AT34" i="40"/>
  <c r="AV30" i="40"/>
  <c r="N24" i="40" s="1"/>
  <c r="C32" i="37"/>
  <c r="AM17" i="40"/>
  <c r="K14" i="40" s="1"/>
  <c r="L28" i="40"/>
  <c r="M23" i="40"/>
  <c r="Z8" i="72" s="1"/>
  <c r="AQ24" i="40"/>
  <c r="AV25" i="40"/>
  <c r="N19" i="40" s="1"/>
  <c r="AQ29" i="40"/>
  <c r="AQ33" i="40"/>
  <c r="S8" i="36"/>
  <c r="S9" i="36"/>
  <c r="S12" i="36"/>
  <c r="S13" i="36"/>
  <c r="B32" i="37"/>
  <c r="AV24" i="40"/>
  <c r="AV28" i="40"/>
  <c r="N22" i="40" s="1"/>
  <c r="AV32" i="40"/>
  <c r="N26" i="40" s="1"/>
  <c r="AL34" i="40"/>
  <c r="J13" i="40" s="1"/>
  <c r="C16" i="36"/>
  <c r="X3" i="72"/>
  <c r="X13" i="72" s="1"/>
  <c r="AQ26" i="40"/>
  <c r="AV27" i="40"/>
  <c r="N21" i="40" s="1"/>
  <c r="AV31" i="40"/>
  <c r="N25" i="40" s="1"/>
  <c r="S6" i="36"/>
  <c r="Y3" i="72"/>
  <c r="Y13" i="72" s="1"/>
  <c r="AV26" i="40"/>
  <c r="N20" i="40" s="1"/>
  <c r="O25" i="37"/>
  <c r="M20" i="43"/>
  <c r="I20" i="43"/>
  <c r="M21" i="43"/>
  <c r="G9" i="43"/>
  <c r="M17" i="43"/>
  <c r="G19" i="43"/>
  <c r="G10" i="43"/>
  <c r="G22" i="43"/>
  <c r="G18" i="43"/>
  <c r="G24" i="43"/>
  <c r="G21" i="43"/>
  <c r="M19" i="43"/>
  <c r="G17" i="43"/>
  <c r="G23" i="43"/>
  <c r="M18" i="43"/>
  <c r="I18" i="43"/>
  <c r="I23" i="43"/>
  <c r="I21" i="43"/>
  <c r="M22" i="43"/>
  <c r="G20" i="43"/>
  <c r="I22" i="43"/>
  <c r="M24" i="43"/>
  <c r="G8" i="43"/>
  <c r="I17" i="43"/>
  <c r="M23" i="43"/>
  <c r="I24" i="43"/>
  <c r="I19" i="43"/>
  <c r="K14" i="37" l="1"/>
  <c r="J9" i="37"/>
  <c r="J10" i="37"/>
  <c r="J7" i="37"/>
  <c r="F24" i="43"/>
  <c r="F23" i="43"/>
  <c r="H23" i="43" s="1"/>
  <c r="K15" i="37"/>
  <c r="K9" i="37"/>
  <c r="K8" i="37"/>
  <c r="K13" i="37"/>
  <c r="K11" i="37"/>
  <c r="J13" i="37"/>
  <c r="J11" i="37"/>
  <c r="J14" i="37"/>
  <c r="J16" i="37"/>
  <c r="K7" i="37"/>
  <c r="K16" i="37"/>
  <c r="J12" i="37"/>
  <c r="K10" i="37"/>
  <c r="K12" i="37"/>
  <c r="J8" i="37"/>
  <c r="J15" i="37"/>
  <c r="F8" i="43"/>
  <c r="J8" i="43" s="1"/>
  <c r="F20" i="43"/>
  <c r="H20" i="43" s="1"/>
  <c r="K20" i="43" s="1"/>
  <c r="L20" i="43" s="1"/>
  <c r="F22" i="43"/>
  <c r="H22" i="43" s="1"/>
  <c r="K22" i="43" s="1"/>
  <c r="L22" i="43" s="1"/>
  <c r="F17" i="43"/>
  <c r="N17" i="43" s="1"/>
  <c r="F18" i="43"/>
  <c r="O18" i="43" s="1"/>
  <c r="P18" i="43" s="1"/>
  <c r="F19" i="43"/>
  <c r="H19" i="43" s="1"/>
  <c r="K19" i="43" s="1"/>
  <c r="L19" i="43" s="1"/>
  <c r="J24" i="43"/>
  <c r="N13" i="36"/>
  <c r="Q13" i="36" s="1"/>
  <c r="N11" i="36"/>
  <c r="O11" i="36" s="1"/>
  <c r="N12" i="36"/>
  <c r="Q12" i="36" s="1"/>
  <c r="N9" i="36"/>
  <c r="P9" i="36" s="1"/>
  <c r="N7" i="36"/>
  <c r="P7" i="36" s="1"/>
  <c r="N15" i="36"/>
  <c r="Q15" i="36" s="1"/>
  <c r="N14" i="36"/>
  <c r="P14" i="36" s="1"/>
  <c r="N10" i="36"/>
  <c r="P10" i="36" s="1"/>
  <c r="F10" i="43"/>
  <c r="N10" i="43" s="1"/>
  <c r="F9" i="43"/>
  <c r="N9" i="43" s="1"/>
  <c r="S16" i="36"/>
  <c r="AQ17" i="40"/>
  <c r="AP18" i="40" s="1"/>
  <c r="N8" i="36"/>
  <c r="L16" i="36"/>
  <c r="AQ34" i="40"/>
  <c r="AV34" i="40"/>
  <c r="N23" i="40"/>
  <c r="Z3" i="72"/>
  <c r="Z13" i="72" s="1"/>
  <c r="M28" i="40"/>
  <c r="N18" i="40"/>
  <c r="E11" i="41"/>
  <c r="H7" i="37"/>
  <c r="C11" i="41"/>
  <c r="I7" i="41"/>
  <c r="E7" i="37"/>
  <c r="C6" i="41"/>
  <c r="F14" i="37"/>
  <c r="H6" i="41"/>
  <c r="H29" i="37"/>
  <c r="I10" i="37"/>
  <c r="J4" i="41"/>
  <c r="D3" i="41"/>
  <c r="G14" i="37"/>
  <c r="E6" i="41"/>
  <c r="C8" i="41"/>
  <c r="B9" i="41"/>
  <c r="H11" i="41"/>
  <c r="H4" i="41"/>
  <c r="H22" i="37"/>
  <c r="F7" i="37"/>
  <c r="D22" i="37"/>
  <c r="G22" i="37" s="1"/>
  <c r="E7" i="41"/>
  <c r="D29" i="37"/>
  <c r="G29" i="37" s="1"/>
  <c r="J3" i="41"/>
  <c r="B8" i="41"/>
  <c r="F11" i="41"/>
  <c r="H10" i="37"/>
  <c r="J7" i="41"/>
  <c r="B7" i="41"/>
  <c r="H9" i="37"/>
  <c r="B6" i="41"/>
  <c r="D15" i="37"/>
  <c r="F3" i="41"/>
  <c r="D9" i="37"/>
  <c r="G15" i="37"/>
  <c r="I3" i="41"/>
  <c r="F8" i="41"/>
  <c r="H15" i="37"/>
  <c r="I14" i="37"/>
  <c r="I13" i="37"/>
  <c r="E13" i="37"/>
  <c r="E10" i="37"/>
  <c r="F4" i="41"/>
  <c r="C5" i="41"/>
  <c r="F16" i="37"/>
  <c r="D28" i="37"/>
  <c r="G28" i="37" s="1"/>
  <c r="J11" i="41"/>
  <c r="C3" i="41"/>
  <c r="H8" i="41"/>
  <c r="E14" i="37"/>
  <c r="J8" i="41"/>
  <c r="D6" i="41"/>
  <c r="D7" i="41"/>
  <c r="C7" i="41"/>
  <c r="H7" i="41"/>
  <c r="F7" i="41"/>
  <c r="I6" i="41"/>
  <c r="F6" i="41"/>
  <c r="E4" i="41"/>
  <c r="L24" i="37"/>
  <c r="O24" i="37" s="1"/>
  <c r="F13" i="37"/>
  <c r="F10" i="37"/>
  <c r="L26" i="37"/>
  <c r="O26" i="37" s="1"/>
  <c r="H30" i="37"/>
  <c r="H14" i="37"/>
  <c r="H13" i="37"/>
  <c r="H28" i="37"/>
  <c r="J6" i="41"/>
  <c r="I7" i="37"/>
  <c r="H24" i="43"/>
  <c r="K24" i="43" s="1"/>
  <c r="L24" i="43" s="1"/>
  <c r="H21" i="43"/>
  <c r="K21" i="43" s="1"/>
  <c r="L21" i="43" s="1"/>
  <c r="I8" i="41"/>
  <c r="D24" i="37"/>
  <c r="G24" i="37" s="1"/>
  <c r="G8" i="37"/>
  <c r="D27" i="37"/>
  <c r="G27" i="37" s="1"/>
  <c r="D23" i="37"/>
  <c r="G23" i="37" s="1"/>
  <c r="F8" i="37"/>
  <c r="D8" i="41"/>
  <c r="L29" i="37"/>
  <c r="O29" i="37" s="1"/>
  <c r="C4" i="41"/>
  <c r="L30" i="37"/>
  <c r="O30" i="37" s="1"/>
  <c r="I11" i="37"/>
  <c r="L27" i="37"/>
  <c r="O27" i="37" s="1"/>
  <c r="E12" i="37"/>
  <c r="E8" i="37"/>
  <c r="H3" i="41"/>
  <c r="E3" i="41"/>
  <c r="I11" i="41"/>
  <c r="I9" i="37"/>
  <c r="D13" i="37"/>
  <c r="G7" i="37"/>
  <c r="G10" i="37"/>
  <c r="I4" i="41"/>
  <c r="D30" i="37"/>
  <c r="G30" i="37" s="1"/>
  <c r="F15" i="37"/>
  <c r="G12" i="37"/>
  <c r="H31" i="37"/>
  <c r="D11" i="37"/>
  <c r="H26" i="37"/>
  <c r="D31" i="37"/>
  <c r="G31" i="37" s="1"/>
  <c r="G16" i="37"/>
  <c r="I5" i="41"/>
  <c r="I16" i="37"/>
  <c r="D12" i="37"/>
  <c r="I12" i="37"/>
  <c r="D8" i="37"/>
  <c r="I8" i="37"/>
  <c r="F9" i="37"/>
  <c r="D14" i="37"/>
  <c r="G13" i="37"/>
  <c r="I15" i="37"/>
  <c r="F5" i="41"/>
  <c r="E16" i="37"/>
  <c r="E11" i="37"/>
  <c r="H16" i="37"/>
  <c r="J5" i="41"/>
  <c r="F12" i="37"/>
  <c r="E8" i="41"/>
  <c r="E9" i="37"/>
  <c r="L28" i="37"/>
  <c r="O28" i="37" s="1"/>
  <c r="H11" i="37"/>
  <c r="H5" i="41"/>
  <c r="D5" i="41"/>
  <c r="L31" i="37"/>
  <c r="O31" i="37" s="1"/>
  <c r="B3" i="41"/>
  <c r="D11" i="41"/>
  <c r="G9" i="37"/>
  <c r="H24" i="37"/>
  <c r="D7" i="37"/>
  <c r="D10" i="37"/>
  <c r="L22" i="37"/>
  <c r="D4" i="41"/>
  <c r="B4" i="41"/>
  <c r="E15" i="37"/>
  <c r="G11" i="37"/>
  <c r="D26" i="37"/>
  <c r="G26" i="37" s="1"/>
  <c r="F11" i="37"/>
  <c r="B5" i="41"/>
  <c r="L23" i="37"/>
  <c r="O23" i="37" s="1"/>
  <c r="D16" i="37"/>
  <c r="E5" i="41"/>
  <c r="H12" i="37"/>
  <c r="H27" i="37"/>
  <c r="H8" i="37"/>
  <c r="H23" i="37"/>
  <c r="N19" i="43"/>
  <c r="J17" i="43"/>
  <c r="N21" i="43"/>
  <c r="O24" i="43"/>
  <c r="P24" i="43" s="1"/>
  <c r="N20" i="43"/>
  <c r="N24" i="43"/>
  <c r="O19" i="43"/>
  <c r="P19" i="43" s="1"/>
  <c r="J21" i="43"/>
  <c r="O21" i="43"/>
  <c r="P21" i="43" s="1"/>
  <c r="O8" i="43" l="1"/>
  <c r="P8" i="43" s="1"/>
  <c r="J18" i="43"/>
  <c r="O17" i="43"/>
  <c r="P17" i="43" s="1"/>
  <c r="H18" i="43"/>
  <c r="K18" i="43" s="1"/>
  <c r="L18" i="43" s="1"/>
  <c r="J23" i="43"/>
  <c r="H8" i="43"/>
  <c r="K8" i="43" s="1"/>
  <c r="L8" i="43" s="1"/>
  <c r="H17" i="43"/>
  <c r="K17" i="43" s="1"/>
  <c r="L17" i="43" s="1"/>
  <c r="K17" i="37"/>
  <c r="N23" i="43"/>
  <c r="O23" i="43"/>
  <c r="P23" i="43" s="1"/>
  <c r="N8" i="43"/>
  <c r="K23" i="43"/>
  <c r="L23" i="43" s="1"/>
  <c r="J20" i="43"/>
  <c r="J19" i="43"/>
  <c r="O20" i="43"/>
  <c r="P20" i="43" s="1"/>
  <c r="N22" i="43"/>
  <c r="J22" i="43"/>
  <c r="P8" i="36"/>
  <c r="Q8" i="36"/>
  <c r="O22" i="43"/>
  <c r="P22" i="43" s="1"/>
  <c r="N18" i="43"/>
  <c r="P13" i="36"/>
  <c r="O13" i="36"/>
  <c r="E25" i="62" s="1"/>
  <c r="P6" i="36"/>
  <c r="O6" i="36"/>
  <c r="O9" i="43"/>
  <c r="P9" i="43" s="1"/>
  <c r="J9" i="43"/>
  <c r="Q11" i="36"/>
  <c r="P11" i="36"/>
  <c r="P12" i="36"/>
  <c r="O14" i="36"/>
  <c r="E26" i="62" s="1"/>
  <c r="O12" i="36"/>
  <c r="E24" i="62" s="1"/>
  <c r="Q6" i="36"/>
  <c r="O10" i="36"/>
  <c r="E22" i="62" s="1"/>
  <c r="Q9" i="36"/>
  <c r="O9" i="36"/>
  <c r="R9" i="36" s="1"/>
  <c r="F21" i="62" s="1"/>
  <c r="Q10" i="36"/>
  <c r="Q14" i="36"/>
  <c r="O7" i="36"/>
  <c r="E19" i="62" s="1"/>
  <c r="Q7" i="36"/>
  <c r="P15" i="36"/>
  <c r="H10" i="43"/>
  <c r="K10" i="43" s="1"/>
  <c r="L10" i="43" s="1"/>
  <c r="O15" i="36"/>
  <c r="E27" i="62" s="1"/>
  <c r="O10" i="43"/>
  <c r="P10" i="43" s="1"/>
  <c r="AM18" i="40"/>
  <c r="AO18" i="40"/>
  <c r="J10" i="43"/>
  <c r="H9" i="43"/>
  <c r="K9" i="43" s="1"/>
  <c r="L9" i="43" s="1"/>
  <c r="AL18" i="40"/>
  <c r="AN18" i="40"/>
  <c r="N16" i="36"/>
  <c r="Q16" i="36" s="1"/>
  <c r="O8" i="36"/>
  <c r="E20" i="62" s="1"/>
  <c r="N28" i="40"/>
  <c r="H17" i="37"/>
  <c r="H32" i="37"/>
  <c r="I17" i="37"/>
  <c r="E17" i="37"/>
  <c r="F17" i="37"/>
  <c r="J17" i="37"/>
  <c r="D17" i="37"/>
  <c r="G32" i="37"/>
  <c r="O22" i="37"/>
  <c r="O32" i="37" s="1"/>
  <c r="L32" i="37"/>
  <c r="G17" i="37"/>
  <c r="D32" i="37"/>
  <c r="R11" i="36"/>
  <c r="F23" i="62" s="1"/>
  <c r="E23" i="62"/>
  <c r="R13" i="36" l="1"/>
  <c r="F25" i="62" s="1"/>
  <c r="G25" i="62" s="1"/>
  <c r="AA10" i="72" s="1"/>
  <c r="E21" i="62"/>
  <c r="G21" i="62" s="1"/>
  <c r="AA6" i="72" s="1"/>
  <c r="R12" i="36"/>
  <c r="F24" i="62" s="1"/>
  <c r="G24" i="62" s="1"/>
  <c r="AA9" i="72" s="1"/>
  <c r="E18" i="62"/>
  <c r="R6" i="36"/>
  <c r="F18" i="62" s="1"/>
  <c r="R14" i="36"/>
  <c r="F26" i="62" s="1"/>
  <c r="G26" i="62" s="1"/>
  <c r="AA11" i="72" s="1"/>
  <c r="P16" i="36"/>
  <c r="R10" i="36"/>
  <c r="F22" i="62" s="1"/>
  <c r="G22" i="62" s="1"/>
  <c r="AA7" i="72" s="1"/>
  <c r="R7" i="36"/>
  <c r="F19" i="62" s="1"/>
  <c r="G19" i="62" s="1"/>
  <c r="AA4" i="72" s="1"/>
  <c r="R15" i="36"/>
  <c r="F27" i="62" s="1"/>
  <c r="G27" i="62" s="1"/>
  <c r="AA12" i="72" s="1"/>
  <c r="O16" i="36"/>
  <c r="E28" i="62" s="1"/>
  <c r="R8" i="36"/>
  <c r="F20" i="62" s="1"/>
  <c r="G20" i="62" s="1"/>
  <c r="AA5" i="72" s="1"/>
  <c r="G23" i="62"/>
  <c r="AA8" i="72" s="1"/>
  <c r="G18" i="62" l="1"/>
  <c r="AA3" i="72" s="1"/>
  <c r="R16" i="36"/>
  <c r="F28" i="62" s="1"/>
  <c r="G28" i="62" s="1"/>
</calcChain>
</file>

<file path=xl/sharedStrings.xml><?xml version="1.0" encoding="utf-8"?>
<sst xmlns="http://schemas.openxmlformats.org/spreadsheetml/2006/main" count="9881" uniqueCount="991">
  <si>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</si>
  <si>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</si>
  <si>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</si>
  <si>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</si>
  <si>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</si>
  <si>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</si>
  <si>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</si>
  <si>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</si>
  <si>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</si>
  <si>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</si>
  <si>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</si>
  <si>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</si>
  <si>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</si>
  <si>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</si>
  <si>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</si>
  <si>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</si>
  <si>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</si>
  <si>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</si>
  <si>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</si>
  <si>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</si>
  <si>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</si>
  <si>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</si>
  <si>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</si>
  <si>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</si>
  <si>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</si>
  <si>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</si>
  <si>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</si>
  <si>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</si>
  <si>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</si>
  <si>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</si>
  <si>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</si>
  <si>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</si>
  <si>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</si>
  <si>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</si>
  <si>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</si>
  <si>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</si>
  <si>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</si>
  <si>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</si>
  <si>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</si>
  <si>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</si>
  <si>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</si>
  <si>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</si>
  <si>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</si>
  <si>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</si>
  <si>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</si>
  <si>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</si>
  <si>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</si>
  <si>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</si>
  <si>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</si>
  <si>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</si>
  <si>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</si>
  <si>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</si>
  <si>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</si>
  <si>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</si>
  <si>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</si>
  <si>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</si>
  <si>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</si>
  <si>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</si>
  <si>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</si>
  <si>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</si>
  <si>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</si>
  <si>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</si>
  <si>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</si>
  <si>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</si>
  <si>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</si>
  <si>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</si>
  <si>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</si>
  <si>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</si>
  <si>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</si>
  <si>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</si>
  <si>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</si>
  <si>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</si>
  <si>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</si>
  <si>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</si>
  <si>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</si>
  <si>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</si>
  <si>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</si>
  <si>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</si>
  <si>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</si>
  <si>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</si>
  <si>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Thin Pone Tan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</si>
  <si>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</si>
  <si>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</si>
  <si>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</si>
  <si>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</si>
  <si>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</si>
  <si>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</si>
  <si>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</si>
  <si>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</si>
  <si>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</si>
  <si>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</si>
  <si>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</si>
  <si>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</si>
  <si>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</si>
  <si>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</si>
  <si>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</si>
  <si>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</si>
  <si>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</si>
  <si>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</si>
  <si>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</si>
  <si>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</si>
  <si>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</si>
  <si>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</si>
  <si>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</si>
  <si>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</si>
  <si>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</si>
  <si>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</si>
  <si>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</si>
  <si>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</si>
  <si>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</si>
  <si>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</si>
  <si>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</si>
  <si>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</si>
  <si>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</si>
  <si>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</si>
  <si>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</si>
  <si>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</si>
  <si>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</si>
  <si>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</si>
  <si>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</si>
  <si>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</si>
  <si>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</si>
  <si>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</si>
  <si>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</si>
  <si>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</si>
  <si>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</si>
  <si>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</si>
  <si>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</si>
  <si>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</si>
  <si>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</si>
  <si>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</si>
  <si>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</si>
  <si>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</si>
  <si>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</si>
  <si>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</si>
  <si>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</si>
  <si>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</si>
  <si>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</si>
  <si>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</si>
  <si>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</si>
  <si>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</si>
  <si>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</si>
  <si>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</si>
  <si>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</si>
  <si>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</si>
  <si>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</si>
  <si>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</si>
  <si>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</si>
  <si>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</si>
  <si>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</si>
  <si>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</si>
  <si>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</si>
  <si>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</si>
  <si>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</si>
  <si>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</si>
  <si>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</si>
  <si>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</si>
  <si>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</si>
  <si>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</si>
  <si>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</si>
  <si>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</si>
  <si>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</si>
  <si>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</si>
  <si>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</si>
  <si>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</si>
  <si>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</si>
  <si>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</si>
  <si>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</si>
  <si>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</si>
  <si>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MMR012CMP058</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</si>
  <si>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</si>
  <si>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</si>
  <si>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</si>
  <si>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</si>
  <si>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</si>
  <si>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</si>
  <si>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</si>
  <si>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</si>
  <si>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</si>
  <si>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</si>
  <si>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</si>
  <si>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</si>
  <si>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</si>
  <si>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</si>
  <si>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</si>
  <si>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</si>
  <si>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</si>
  <si>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</si>
  <si>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</si>
  <si>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</si>
  <si>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</si>
  <si>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</si>
  <si>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</si>
  <si>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</si>
  <si>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</si>
  <si>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</si>
  <si>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</si>
  <si>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</si>
  <si>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</si>
  <si>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</si>
  <si>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</si>
  <si>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</si>
  <si>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</si>
  <si>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</si>
  <si>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</si>
  <si>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</si>
  <si>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</si>
  <si>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</si>
  <si>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</si>
  <si>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</si>
  <si>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</si>
  <si>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</si>
  <si>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</si>
  <si>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</si>
  <si>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</si>
  <si>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</si>
  <si>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</si>
  <si>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</si>
  <si>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</si>
  <si>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</si>
  <si>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</si>
  <si>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</si>
  <si>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</si>
  <si>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</si>
  <si>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</si>
  <si>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</si>
  <si>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</si>
  <si>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</si>
  <si>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</si>
  <si>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</si>
  <si>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</si>
  <si>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</si>
  <si>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</si>
  <si>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</si>
  <si>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</si>
  <si>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</si>
  <si>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</si>
  <si>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</si>
  <si>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</si>
  <si>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</si>
  <si>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</si>
  <si>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</si>
  <si>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</si>
  <si>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</si>
  <si>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</si>
  <si>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</si>
  <si>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</si>
  <si>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</si>
  <si>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</si>
  <si>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</si>
  <si>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</si>
  <si>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</si>
  <si>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</si>
  <si>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</si>
  <si>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</si>
  <si>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</si>
  <si>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</si>
  <si>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</si>
  <si>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</si>
  <si>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</si>
  <si>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</si>
  <si>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</si>
  <si>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</si>
  <si>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</si>
  <si>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</si>
  <si>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</si>
  <si>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</si>
  <si>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</si>
  <si>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</si>
  <si>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</si>
  <si>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</si>
  <si>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</si>
  <si>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</si>
  <si>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</si>
  <si>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</si>
  <si>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</si>
  <si>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</si>
  <si>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</si>
  <si>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</si>
  <si>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</si>
  <si>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</si>
  <si>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</si>
  <si>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</si>
  <si>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</si>
  <si>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</si>
  <si>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</si>
  <si>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</si>
  <si>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</si>
  <si>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</si>
  <si>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</si>
  <si>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</si>
  <si>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</si>
  <si>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</si>
  <si>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</si>
  <si>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</si>
  <si>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</si>
  <si>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</si>
  <si>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</si>
  <si>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</si>
  <si>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</si>
  <si>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</si>
  <si>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</si>
  <si>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Org</t>
  </si>
  <si>
    <t>Quantity/HH</t>
  </si>
  <si>
    <t>Requirement</t>
  </si>
  <si>
    <t>Distributed</t>
  </si>
  <si>
    <t>In Stock</t>
  </si>
  <si>
    <t>Requirement</t>
    <phoneticPr fontId="18" type="noConversion"/>
  </si>
  <si>
    <t>Remaining Need</t>
  </si>
  <si>
    <t>Hygiene Kit</t>
  </si>
  <si>
    <t>Sanitary Kit</t>
  </si>
  <si>
    <t>Tarpaulin</t>
  </si>
  <si>
    <t>NFI DISTRIBUTION BY TOWNSHIP</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</si>
  <si>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</si>
  <si>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</si>
  <si>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</si>
  <si>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</si>
  <si>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</si>
  <si>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</si>
  <si>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</si>
  <si>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</si>
  <si>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</si>
  <si>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</si>
  <si>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</si>
  <si>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</si>
  <si>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</si>
  <si>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</si>
  <si>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</si>
  <si>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</si>
  <si>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</si>
  <si>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</si>
  <si>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</si>
  <si>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</si>
  <si>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</si>
  <si>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</si>
  <si>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</si>
  <si>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</si>
  <si>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</si>
  <si>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</si>
  <si>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</si>
  <si>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</si>
  <si>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</si>
  <si>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</si>
  <si>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</si>
  <si>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</si>
  <si>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</si>
  <si>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</si>
  <si>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</si>
  <si>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</si>
  <si>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</si>
  <si>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</si>
  <si>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</si>
  <si>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</si>
  <si>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</si>
  <si>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</si>
  <si>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</si>
  <si>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 xml:space="preserve">Tarpaulin </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</si>
  <si>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</si>
  <si>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</si>
  <si>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</si>
  <si>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</si>
  <si>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</si>
  <si>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</si>
  <si>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</si>
  <si>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</si>
  <si>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</si>
  <si>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</si>
  <si>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</si>
  <si>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</si>
  <si>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</si>
  <si>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</si>
  <si>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</si>
  <si>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</si>
  <si>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</si>
  <si>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</si>
  <si>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</si>
  <si>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</si>
  <si>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</si>
  <si>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</si>
  <si>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</si>
  <si>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</si>
  <si>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</si>
  <si>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</si>
  <si>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</si>
  <si>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</si>
  <si>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</si>
  <si>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</si>
  <si>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</si>
  <si>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</si>
  <si>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</si>
  <si>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</si>
  <si>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</si>
  <si>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</si>
  <si>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</si>
  <si>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</si>
  <si>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</si>
  <si>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</si>
  <si>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</si>
  <si>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</si>
  <si>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</si>
  <si>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</si>
  <si>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</si>
  <si>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</si>
  <si>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</si>
  <si>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</si>
  <si>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</si>
  <si>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</si>
  <si>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</si>
  <si>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</si>
  <si>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</si>
  <si>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</si>
  <si>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</si>
  <si>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</si>
  <si>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</si>
  <si>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</si>
  <si>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</si>
  <si>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</si>
  <si>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</si>
  <si>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</si>
  <si>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</si>
  <si>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</si>
  <si>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</si>
  <si>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</si>
  <si>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</si>
  <si>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</si>
  <si>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</si>
  <si>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</si>
  <si>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</si>
  <si>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</si>
  <si>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</si>
  <si>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</si>
  <si>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</si>
  <si>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</si>
  <si>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</si>
  <si>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</si>
  <si>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</si>
  <si>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</si>
  <si>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</si>
  <si>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</si>
  <si>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</si>
  <si>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</si>
  <si>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</si>
  <si>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</si>
  <si>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</si>
  <si>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</si>
  <si>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</si>
  <si>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</si>
  <si>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</si>
  <si>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</si>
  <si>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</si>
  <si>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</si>
  <si>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</si>
  <si>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</si>
  <si>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</si>
  <si>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</si>
  <si>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</si>
  <si>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</si>
  <si>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</si>
  <si>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</si>
  <si>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</si>
  <si>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</si>
  <si>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</si>
  <si>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</si>
  <si>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</si>
  <si>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</si>
  <si>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</si>
  <si>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</si>
  <si>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</si>
  <si>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</si>
  <si>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</si>
  <si>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</si>
  <si>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</si>
  <si>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</si>
  <si>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</si>
  <si>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</si>
  <si>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</si>
  <si>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</si>
  <si>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</si>
  <si>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</si>
  <si>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</si>
  <si>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</si>
  <si>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</si>
  <si>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</si>
  <si>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</si>
  <si>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</si>
  <si>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</si>
  <si>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</si>
  <si>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</si>
  <si>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</si>
  <si>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</si>
  <si>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</si>
  <si>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</si>
  <si>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</si>
  <si>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</si>
  <si>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</si>
  <si>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</si>
  <si>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</si>
  <si>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</si>
  <si>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</si>
  <si>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</si>
  <si>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</si>
  <si>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</si>
  <si>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</si>
  <si>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</si>
  <si>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</si>
  <si>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</si>
  <si>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</si>
  <si>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</si>
  <si>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</si>
  <si>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</si>
  <si>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</si>
  <si>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</si>
  <si>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MMR012002701501</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</si>
  <si>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</si>
  <si>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</si>
  <si>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</si>
  <si>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</si>
  <si>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</si>
  <si>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</si>
  <si>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</si>
  <si>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</si>
  <si>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</si>
  <si>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</si>
  <si>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</si>
  <si>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</si>
  <si>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</si>
  <si>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</si>
  <si>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</si>
  <si>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</si>
  <si>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</si>
  <si>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</si>
  <si>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</si>
  <si>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MMR012001002</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</si>
  <si>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</si>
  <si>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</si>
  <si>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</si>
  <si>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</si>
  <si>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</si>
  <si>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</si>
  <si>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</si>
  <si>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</si>
  <si>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</si>
  <si>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</si>
  <si>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</si>
  <si>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</si>
  <si>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</si>
  <si>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</si>
  <si>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 xml:space="preserve">Blanket </t>
  </si>
  <si>
    <t xml:space="preserve">Kitchen Set </t>
  </si>
  <si>
    <t xml:space="preserve">Complementary Kit </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</si>
  <si>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</si>
  <si>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</si>
  <si>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</si>
  <si>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</si>
  <si>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</si>
  <si>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</si>
  <si>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</si>
  <si>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</si>
  <si>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</si>
  <si>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</si>
  <si>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</si>
  <si>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</si>
  <si>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</si>
  <si>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This HH and Total population is for Both camps Ohn Taw Gyi 4 and 5 because information is only possible to get combine information for 2 camps.</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</si>
  <si>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</si>
  <si>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</si>
  <si>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</si>
  <si>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</si>
  <si>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</si>
  <si>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</si>
  <si>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</si>
  <si>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</si>
  <si>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</si>
  <si>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</si>
  <si>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</si>
  <si>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</si>
  <si>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</si>
  <si>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</si>
  <si>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</si>
  <si>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</si>
  <si>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</si>
  <si>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</si>
  <si>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</si>
  <si>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</si>
  <si>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</si>
  <si>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</si>
  <si>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</si>
  <si>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</si>
  <si>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</si>
  <si>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</si>
  <si>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</si>
  <si>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</si>
  <si>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</si>
  <si>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</si>
  <si>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</si>
  <si>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</si>
  <si>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</si>
  <si>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</si>
  <si>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</si>
  <si>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</si>
  <si>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</si>
  <si>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</si>
  <si>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</si>
  <si>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</si>
  <si>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 xml:space="preserve">Plastic Bucket </t>
  </si>
  <si>
    <t xml:space="preserve">Plastic  Mat </t>
  </si>
  <si>
    <t>Items (Direct and through Kits)</t>
  </si>
  <si>
    <t>1-1k</t>
  </si>
  <si>
    <t>1k - 5k</t>
  </si>
  <si>
    <t>5k-10k</t>
  </si>
  <si>
    <t>1k-5k</t>
  </si>
  <si>
    <t>Over 10k</t>
  </si>
  <si>
    <t>&gt;10k</t>
  </si>
  <si>
    <t># Ind. Covered</t>
  </si>
  <si>
    <t># Ind. Not Covered</t>
  </si>
  <si>
    <t>Mosquito net</t>
  </si>
  <si>
    <t>Buthidaung</t>
  </si>
  <si>
    <t>Rakhine CCCM Dashboard</t>
  </si>
  <si>
    <t>Unknown</t>
  </si>
  <si>
    <t>Rakhine NFI Coverage &amp; Gaps</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</si>
  <si>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</si>
  <si>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</si>
  <si>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</si>
  <si>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</si>
  <si>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</si>
  <si>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</si>
  <si>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</si>
  <si>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</si>
  <si>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</si>
  <si>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</si>
  <si>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</si>
  <si>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</si>
  <si>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</si>
  <si>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</si>
  <si>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</si>
  <si>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</si>
  <si>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</si>
  <si>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</si>
  <si>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</si>
  <si>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</si>
  <si>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</si>
  <si>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</si>
  <si>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</si>
  <si>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</si>
  <si>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</si>
  <si>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</si>
  <si>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</si>
  <si>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</si>
  <si>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People are from Myat Buddha Mandine Monastery</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</si>
  <si>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</si>
  <si>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</si>
  <si>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</si>
  <si>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</si>
  <si>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</si>
  <si>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</si>
  <si>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</si>
  <si>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</si>
  <si>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</si>
  <si>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</si>
  <si>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</si>
  <si>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</si>
  <si>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</si>
  <si>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</si>
  <si>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</si>
  <si>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</si>
  <si>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</si>
  <si>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Kyauk_Phyu Total</t>
  </si>
  <si>
    <t>Maungdaw Total</t>
  </si>
  <si>
    <t>Pauktaw Total</t>
  </si>
  <si>
    <t>Ramree Total</t>
  </si>
  <si>
    <t>Rathedaung Total</t>
  </si>
  <si>
    <t>Altitude</t>
  </si>
  <si>
    <t>Opening Date</t>
  </si>
  <si>
    <t>Count of Township_Pcode</t>
  </si>
  <si>
    <t>(All)</t>
  </si>
  <si>
    <t>Sum of HH</t>
  </si>
  <si>
    <t>close</t>
  </si>
  <si>
    <t>No Reliable figures available</t>
  </si>
  <si>
    <t>Counted within Thae Chaung</t>
  </si>
  <si>
    <t>12 to 17</t>
  </si>
  <si>
    <t>Muslim</t>
  </si>
  <si>
    <t>Maramargyi</t>
  </si>
  <si>
    <t>Relief International</t>
  </si>
  <si>
    <t>Individual Accomodation to Planned Camp (Gov't constructed Long Houses)</t>
  </si>
  <si>
    <t>Danish Refugee Council</t>
  </si>
  <si>
    <t>Merged with Phwe Yar Kone</t>
  </si>
  <si>
    <t>Former OTG 1  - 115 shelters inland side, OTG 3, OTG 6, BDP (60)</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</si>
  <si>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</si>
  <si>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</si>
  <si>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</si>
  <si>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</si>
  <si>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</si>
  <si>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</si>
  <si>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</si>
  <si>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</si>
  <si>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</si>
  <si>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</si>
  <si>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</si>
  <si>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</si>
  <si>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</si>
  <si>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</si>
  <si>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</si>
  <si>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</si>
  <si>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</si>
  <si>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</si>
  <si>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</si>
  <si>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</si>
  <si>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</si>
  <si>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</si>
  <si>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</si>
  <si>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</si>
  <si>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</si>
  <si>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</si>
  <si>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</si>
  <si>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</si>
  <si>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</si>
  <si>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</si>
  <si>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</si>
  <si>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</si>
  <si>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</si>
  <si>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</si>
  <si>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</si>
  <si>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</si>
  <si>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</si>
  <si>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</si>
  <si>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</si>
  <si>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</si>
  <si>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</si>
  <si>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</si>
  <si>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</si>
  <si>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</si>
  <si>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</si>
  <si>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</si>
  <si>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</si>
  <si>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</si>
  <si>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</si>
  <si>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</si>
  <si>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</si>
  <si>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</si>
  <si>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</si>
  <si>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</si>
  <si>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</si>
  <si>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</si>
  <si>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</si>
  <si>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Population of camps in thousands</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</si>
  <si>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</si>
  <si>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</si>
  <si>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</si>
  <si>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</si>
  <si>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</si>
  <si>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</si>
  <si>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</si>
  <si>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</si>
  <si>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</si>
  <si>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0 &lt; 5</t>
  </si>
  <si>
    <t>Unaccompanied children</t>
  </si>
  <si>
    <t>Separated chidlren</t>
  </si>
  <si>
    <t>SCI</t>
  </si>
  <si>
    <t>Sex</t>
  </si>
  <si>
    <t>Age_Cat</t>
  </si>
  <si>
    <t>Age_Category</t>
  </si>
  <si>
    <t>0 &lt; 5 Total</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</si>
  <si>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</si>
  <si>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</si>
  <si>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</si>
  <si>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</si>
  <si>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</si>
  <si>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</si>
  <si>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</si>
  <si>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</si>
  <si>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</si>
  <si>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</si>
  <si>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</si>
  <si>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</si>
  <si>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</si>
  <si>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</si>
  <si>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</si>
  <si>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</si>
  <si>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</si>
  <si>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</si>
  <si>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</si>
  <si>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</si>
  <si>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</si>
  <si>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</si>
  <si>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</si>
  <si>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</si>
  <si>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</si>
  <si>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</si>
  <si>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</si>
  <si>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</si>
  <si>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</si>
  <si>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Maramargyi Total</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</si>
  <si>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</si>
  <si>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</si>
  <si>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</si>
  <si>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</si>
  <si>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</si>
  <si>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</si>
  <si>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</si>
  <si>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</si>
  <si>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</si>
  <si>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</si>
  <si>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</si>
  <si>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</si>
  <si>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</si>
  <si>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</si>
  <si>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Total</t>
  </si>
  <si>
    <t xml:space="preserve"> -Muslim</t>
  </si>
  <si>
    <t># of Other Accomodation</t>
  </si>
  <si>
    <t>Camp Management Agency   </t>
  </si>
  <si>
    <t>IDP (according to the Guiding Principles on Internal Displacement)</t>
  </si>
  <si>
    <t>Camp Management Focal Point</t>
  </si>
  <si>
    <t>Planned/Managed Camp</t>
  </si>
  <si>
    <t>Priority camps are 23 camps in the areas of rural Sittwe, and Myebon and Pauktaw Townships where a significant majority (almost 80 %) of the 140,000 IDP population resides.</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</si>
  <si>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</si>
  <si>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</si>
  <si>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</si>
  <si>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</si>
  <si>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</si>
  <si>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</si>
  <si>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</si>
  <si>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</si>
  <si>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</si>
  <si>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</si>
  <si>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</si>
  <si>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</si>
  <si>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</si>
  <si>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</si>
  <si>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</si>
  <si>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</si>
  <si>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Mrauk_U Total</t>
  </si>
  <si>
    <t>Kyauktaw Total</t>
  </si>
  <si>
    <t>Minbya Total</t>
  </si>
  <si>
    <t xml:space="preserve">Khaung Doke Khar (1 &amp; 2) </t>
  </si>
  <si>
    <t>Maramargyi-Buddhist</t>
  </si>
  <si>
    <t>year</t>
  </si>
  <si>
    <t># Camp</t>
  </si>
  <si>
    <t>Contact</t>
  </si>
  <si>
    <t>SC</t>
  </si>
  <si>
    <t>Lutherian World Foundation</t>
  </si>
  <si>
    <t>Organization_Code</t>
  </si>
  <si>
    <t xml:space="preserve">United Nations High Commissioner for Refugees </t>
  </si>
  <si>
    <t>Nicola Pyatt
Humanitarian Advisor
Nicola.pyatt@savethechildren.org</t>
  </si>
  <si>
    <t>Trisha Bury
Health Program Manager (Sittwe)
trisha.bury@ri.org</t>
  </si>
  <si>
    <t># Ind</t>
  </si>
  <si>
    <t>Sum of Mosquito net</t>
  </si>
  <si>
    <t>Sum of Tarpaulin</t>
  </si>
  <si>
    <t>Sum of Kitchen Set</t>
  </si>
  <si>
    <t>Sum of Blanket</t>
  </si>
  <si>
    <t xml:space="preserve"># of Temporary Shelter Built </t>
  </si>
  <si>
    <t>shelter_coverage</t>
  </si>
  <si>
    <t>Sum of 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</si>
  <si>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</si>
  <si>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</si>
  <si>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</si>
  <si>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</si>
  <si>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</si>
  <si>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</si>
  <si>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</si>
  <si>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</si>
  <si>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</si>
  <si>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</si>
  <si>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</si>
  <si>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</si>
  <si>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</si>
  <si>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</si>
  <si>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</si>
  <si>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</si>
  <si>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</si>
  <si>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</si>
  <si>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</si>
  <si>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</si>
  <si>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</si>
  <si>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</si>
  <si>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</si>
  <si>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</si>
  <si>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</si>
  <si>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Person with physical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</si>
  <si>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</si>
  <si>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</si>
  <si>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</si>
  <si>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</si>
  <si>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</si>
  <si>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</si>
  <si>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</si>
  <si>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</si>
  <si>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</si>
  <si>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</si>
  <si>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</si>
  <si>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</si>
  <si>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</si>
  <si>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</si>
  <si>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</si>
  <si>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</si>
  <si>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</si>
  <si>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</si>
  <si>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</si>
  <si>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</si>
  <si>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</si>
  <si>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</si>
  <si>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</si>
  <si>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</si>
  <si>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</si>
  <si>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</si>
  <si>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</si>
  <si>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</si>
  <si>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</si>
  <si>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</si>
  <si>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</si>
  <si>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</si>
  <si>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</si>
  <si>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This camp was situated on the  field in  front big pagoda so called Paya Gyi Kwin but the camp is actually situated near  Ka Nyien Taw village. So the  former name of the camp was” Paya Gyi Kwin” and later it was named as “ Ka Nyein Taw” because it was situated near “Ka Nyin Taw” village.</t>
  </si>
  <si>
    <t>Veronica Costarelli
CCCM Project Coordinator
Veronica.Costarelli@drcmm.org</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</si>
  <si>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</si>
  <si>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</si>
  <si>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</si>
  <si>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</si>
  <si>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</si>
  <si>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</si>
  <si>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</si>
  <si>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</si>
  <si>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</si>
  <si>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</si>
  <si>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</si>
  <si>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</si>
  <si>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</si>
  <si>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</si>
  <si>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</si>
  <si>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</si>
  <si>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</si>
  <si>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</si>
  <si>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</si>
  <si>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</si>
  <si>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</si>
  <si>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</si>
  <si>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</si>
  <si>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</si>
  <si>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</si>
  <si>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</si>
  <si>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</si>
  <si>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</si>
  <si>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</si>
  <si>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</si>
  <si>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</si>
  <si>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</si>
  <si>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</si>
  <si>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</si>
  <si>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</si>
  <si>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</si>
  <si>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</si>
  <si>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</si>
  <si>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</si>
  <si>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</si>
  <si>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</si>
  <si>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</si>
  <si>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</si>
  <si>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 xml:space="preserve"> Mosquito net </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</si>
  <si>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</si>
  <si>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</si>
  <si>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</si>
  <si>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</si>
  <si>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</si>
  <si>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</si>
  <si>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</si>
  <si>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</si>
  <si>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</si>
  <si>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</si>
  <si>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</si>
  <si>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</si>
  <si>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</si>
  <si>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</si>
  <si>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</si>
  <si>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</si>
  <si>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</si>
  <si>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</si>
  <si>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</si>
  <si>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</si>
  <si>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</si>
  <si>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</si>
  <si>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 xml:space="preserve"> Permanent House Under Construction</t>
  </si>
  <si>
    <t>2</t>
  </si>
  <si>
    <t>1</t>
  </si>
  <si>
    <t>5</t>
  </si>
  <si>
    <t>NFI_JerryCan_Track</t>
  </si>
  <si>
    <t>NFI_JerryCan_Stock</t>
  </si>
  <si>
    <t>NFI_JerryCan_Pipeline</t>
  </si>
  <si>
    <t>Jerry Can_LS</t>
  </si>
  <si>
    <t xml:space="preserve"> Jerry Can</t>
  </si>
  <si>
    <t>IOM</t>
  </si>
  <si>
    <t>(Du) Chee Yar Tan (East)</t>
  </si>
  <si>
    <t>CFSI</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</si>
</sst>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s>
  <fonts count="75"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6"/>
      <color theme="1"/>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sz val="8"/>
      <color theme="0"/>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0"/>
      <name val="Calibri"/>
      <family val="2"/>
      <scheme val="minor"/>
    </font>
    <font>
      <b/>
      <sz val="11"/>
      <name val="Calibri"/>
      <family val="2"/>
    </font>
    <font>
      <b/>
      <sz val="14"/>
      <name val="Calibri"/>
      <family val="2"/>
      <scheme val="minor"/>
    </font>
  </fonts>
  <fills count="4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6" fillId="14" borderId="9" applyNumberFormat="0" applyAlignment="0" applyProtection="0"/>
    <xf numFmtId="43" fontId="33" fillId="0" borderId="0" applyFont="0" applyFill="0" applyBorder="0" applyAlignment="0" applyProtection="0"/>
    <xf numFmtId="0" fontId="42" fillId="0" borderId="0"/>
    <xf numFmtId="171" fontId="42" fillId="0" borderId="0"/>
    <xf numFmtId="171" fontId="33" fillId="0" borderId="0"/>
    <xf numFmtId="0" fontId="67" fillId="46" borderId="0" applyNumberFormat="0" applyBorder="0" applyAlignment="0" applyProtection="0"/>
    <xf numFmtId="0" fontId="65"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alignment vertical="top"/>
      <protection locked="0"/>
    </xf>
    <xf numFmtId="0" fontId="42" fillId="0" borderId="0"/>
  </cellStyleXfs>
  <cellXfs count="860">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15"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0" fillId="7" borderId="7" xfId="0" applyFill="1" applyBorder="1"/>
    <xf numFmtId="0" fontId="3" fillId="0" borderId="0" xfId="0" applyFont="1"/>
    <xf numFmtId="0" fontId="0" fillId="0" borderId="0" xfId="0" applyFill="1" applyBorder="1"/>
    <xf numFmtId="0" fontId="3" fillId="0" borderId="0" xfId="0" applyFont="1" applyFill="1" applyBorder="1"/>
    <xf numFmtId="0" fontId="16"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2" fillId="0" borderId="0" xfId="3" applyFont="1"/>
    <xf numFmtId="0" fontId="23" fillId="0" borderId="0" xfId="3" applyFont="1"/>
    <xf numFmtId="0" fontId="0" fillId="0" borderId="1" xfId="0" applyBorder="1"/>
    <xf numFmtId="9" fontId="0" fillId="0" borderId="1" xfId="8" applyFont="1"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0" fontId="14" fillId="11" borderId="1" xfId="0" applyFont="1" applyFill="1" applyBorder="1" applyAlignment="1">
      <alignment horizontal="center" vertical="center" wrapText="1"/>
    </xf>
    <xf numFmtId="0" fontId="0" fillId="0" borderId="0" xfId="0"/>
    <xf numFmtId="1" fontId="0" fillId="0" borderId="0" xfId="0" applyNumberFormat="1"/>
    <xf numFmtId="1" fontId="3" fillId="7" borderId="1" xfId="0" applyNumberFormat="1" applyFont="1" applyFill="1" applyBorder="1"/>
    <xf numFmtId="0" fontId="14" fillId="11" borderId="1" xfId="0" applyFont="1" applyFill="1" applyBorder="1" applyAlignment="1">
      <alignment horizontal="center" vertical="center" wrapText="1"/>
    </xf>
    <xf numFmtId="0" fontId="0" fillId="0" borderId="0" xfId="0"/>
    <xf numFmtId="0" fontId="0" fillId="21" borderId="0" xfId="0" applyFill="1"/>
    <xf numFmtId="0" fontId="25" fillId="21" borderId="0" xfId="0" applyFont="1" applyFill="1" applyAlignment="1"/>
    <xf numFmtId="165" fontId="30" fillId="0" borderId="1" xfId="10" applyNumberFormat="1" applyFont="1" applyFill="1" applyBorder="1" applyAlignment="1">
      <alignment horizontal="left"/>
    </xf>
    <xf numFmtId="165" fontId="24" fillId="0" borderId="1" xfId="10" applyNumberFormat="1" applyFont="1" applyBorder="1"/>
    <xf numFmtId="9" fontId="24" fillId="24" borderId="1" xfId="8" applyFont="1" applyFill="1" applyBorder="1"/>
    <xf numFmtId="9" fontId="24" fillId="25" borderId="1" xfId="8" applyFont="1" applyFill="1" applyBorder="1"/>
    <xf numFmtId="9" fontId="24" fillId="27" borderId="1" xfId="8" applyFont="1" applyFill="1" applyBorder="1"/>
    <xf numFmtId="165" fontId="24"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14" fillId="11" borderId="1" xfId="0" applyFont="1" applyFill="1" applyBorder="1" applyAlignment="1">
      <alignment horizontal="center" vertical="center" wrapText="1"/>
    </xf>
    <xf numFmtId="0" fontId="0" fillId="0" borderId="0" xfId="0"/>
    <xf numFmtId="0" fontId="0" fillId="0" borderId="1" xfId="0" applyBorder="1" applyAlignment="1">
      <alignment horizontal="right"/>
    </xf>
    <xf numFmtId="0" fontId="0" fillId="0" borderId="0" xfId="0" applyAlignment="1">
      <alignment textRotation="90"/>
    </xf>
    <xf numFmtId="9" fontId="29" fillId="23" borderId="12" xfId="8" applyFont="1" applyFill="1" applyBorder="1" applyAlignment="1">
      <alignment horizontal="right" vertical="center" wrapText="1"/>
    </xf>
    <xf numFmtId="0" fontId="0" fillId="28"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7" xfId="0" applyBorder="1"/>
    <xf numFmtId="0" fontId="0" fillId="0" borderId="18" xfId="0" applyBorder="1"/>
    <xf numFmtId="0" fontId="0" fillId="0" borderId="0" xfId="0"/>
    <xf numFmtId="0" fontId="0" fillId="0" borderId="0" xfId="0"/>
    <xf numFmtId="0" fontId="0" fillId="10" borderId="0" xfId="0" applyFill="1" applyAlignment="1">
      <alignment horizontal="left" indent="1"/>
    </xf>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6"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8" fillId="0" borderId="0" xfId="6" applyFont="1" applyFill="1" applyBorder="1" applyAlignment="1">
      <alignment horizontal="left" vertical="center"/>
    </xf>
    <xf numFmtId="0" fontId="9" fillId="17" borderId="1" xfId="6" applyFill="1" applyBorder="1" applyAlignment="1">
      <alignment horizontal="center"/>
    </xf>
    <xf numFmtId="0" fontId="40"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4" xfId="0" applyNumberFormat="1" applyFont="1" applyBorder="1"/>
    <xf numFmtId="2" fontId="0" fillId="0" borderId="23" xfId="0" applyNumberFormat="1" applyFont="1" applyBorder="1"/>
    <xf numFmtId="2" fontId="0" fillId="0" borderId="25" xfId="0" applyNumberFormat="1" applyFont="1" applyBorder="1"/>
    <xf numFmtId="0" fontId="3" fillId="0" borderId="26" xfId="0" applyFont="1" applyFill="1" applyBorder="1"/>
    <xf numFmtId="0" fontId="3" fillId="0" borderId="27" xfId="0" applyFont="1" applyFill="1" applyBorder="1"/>
    <xf numFmtId="9" fontId="41" fillId="0" borderId="0" xfId="8" applyNumberFormat="1" applyFont="1" applyFill="1"/>
    <xf numFmtId="0" fontId="0" fillId="29" borderId="32" xfId="0" applyFill="1" applyBorder="1"/>
    <xf numFmtId="0" fontId="0" fillId="0" borderId="0" xfId="0"/>
    <xf numFmtId="0" fontId="0" fillId="0" borderId="0" xfId="0"/>
    <xf numFmtId="0" fontId="41" fillId="13" borderId="1" xfId="0" applyFont="1" applyFill="1" applyBorder="1" applyAlignment="1"/>
    <xf numFmtId="0" fontId="47" fillId="11" borderId="0" xfId="6" applyFont="1" applyFill="1" applyBorder="1" applyAlignment="1">
      <alignment vertical="center"/>
    </xf>
    <xf numFmtId="0" fontId="41" fillId="34" borderId="5" xfId="0" applyFont="1" applyFill="1" applyBorder="1" applyAlignment="1">
      <alignment vertical="center" wrapText="1"/>
    </xf>
    <xf numFmtId="0" fontId="41" fillId="36" borderId="5" xfId="0" applyFont="1" applyFill="1" applyBorder="1" applyAlignment="1">
      <alignment vertical="center" wrapText="1"/>
    </xf>
    <xf numFmtId="0" fontId="11" fillId="10" borderId="0" xfId="6" applyFont="1" applyFill="1" applyBorder="1" applyAlignment="1">
      <alignment vertical="center"/>
    </xf>
    <xf numFmtId="0" fontId="49" fillId="18" borderId="0" xfId="0" applyFont="1" applyFill="1"/>
    <xf numFmtId="0" fontId="14" fillId="11" borderId="1" xfId="0" applyFont="1" applyFill="1" applyBorder="1" applyAlignment="1">
      <alignment horizontal="center" vertical="center" wrapText="1"/>
    </xf>
    <xf numFmtId="0" fontId="50" fillId="18" borderId="0" xfId="0" applyFont="1" applyFill="1"/>
    <xf numFmtId="0" fontId="51" fillId="35" borderId="5" xfId="0" applyFont="1" applyFill="1" applyBorder="1" applyAlignment="1">
      <alignment vertical="center" wrapText="1"/>
    </xf>
    <xf numFmtId="0" fontId="45" fillId="11" borderId="1" xfId="0" applyFont="1" applyFill="1" applyBorder="1" applyAlignment="1">
      <alignment horizontal="center" vertical="center" wrapText="1"/>
    </xf>
    <xf numFmtId="0" fontId="41" fillId="0" borderId="7" xfId="0" applyFont="1" applyBorder="1"/>
    <xf numFmtId="0" fontId="41" fillId="0" borderId="6" xfId="0" applyFont="1" applyBorder="1"/>
    <xf numFmtId="0" fontId="41" fillId="0" borderId="6" xfId="0" applyFont="1" applyBorder="1" applyAlignment="1">
      <alignment horizontal="left"/>
    </xf>
    <xf numFmtId="0" fontId="41" fillId="0" borderId="8" xfId="0" applyFont="1" applyBorder="1"/>
    <xf numFmtId="0" fontId="43" fillId="11" borderId="1" xfId="0" applyFont="1" applyFill="1" applyBorder="1"/>
    <xf numFmtId="165" fontId="43" fillId="11" borderId="1" xfId="7" applyNumberFormat="1" applyFont="1" applyFill="1" applyBorder="1"/>
    <xf numFmtId="0" fontId="41" fillId="0" borderId="0" xfId="0" applyFont="1"/>
    <xf numFmtId="0" fontId="43" fillId="13" borderId="0" xfId="0" applyFont="1" applyFill="1"/>
    <xf numFmtId="0" fontId="41" fillId="13" borderId="0" xfId="0" applyFont="1" applyFill="1"/>
    <xf numFmtId="0" fontId="45" fillId="11" borderId="2" xfId="0" applyFont="1" applyFill="1" applyBorder="1" applyAlignment="1">
      <alignment vertical="center" wrapText="1"/>
    </xf>
    <xf numFmtId="0" fontId="45" fillId="11" borderId="10" xfId="0" applyFont="1" applyFill="1" applyBorder="1" applyAlignment="1">
      <alignment vertical="center" wrapText="1"/>
    </xf>
    <xf numFmtId="0" fontId="45" fillId="7" borderId="1" xfId="0" applyFont="1" applyFill="1" applyBorder="1" applyAlignment="1">
      <alignment horizontal="center" vertical="center" wrapText="1"/>
    </xf>
    <xf numFmtId="0" fontId="41" fillId="0" borderId="7" xfId="0" quotePrefix="1" applyFont="1" applyBorder="1"/>
    <xf numFmtId="0" fontId="41" fillId="7" borderId="7" xfId="0" quotePrefix="1" applyFont="1" applyFill="1" applyBorder="1"/>
    <xf numFmtId="0" fontId="43" fillId="7" borderId="1" xfId="0" applyFont="1" applyFill="1" applyBorder="1"/>
    <xf numFmtId="0" fontId="41" fillId="0" borderId="0" xfId="0" applyNumberFormat="1" applyFont="1"/>
    <xf numFmtId="3" fontId="0" fillId="0" borderId="0" xfId="0" applyNumberFormat="1"/>
    <xf numFmtId="9" fontId="0" fillId="0" borderId="0" xfId="8" applyFont="1"/>
    <xf numFmtId="0" fontId="0" fillId="28"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7" xfId="0" applyFill="1" applyBorder="1"/>
    <xf numFmtId="0" fontId="0" fillId="0" borderId="18" xfId="0" applyFill="1" applyBorder="1"/>
    <xf numFmtId="0" fontId="17" fillId="19" borderId="0" xfId="0" applyFont="1" applyFill="1" applyAlignment="1">
      <alignment horizontal="center" vertical="center"/>
    </xf>
    <xf numFmtId="0" fontId="12" fillId="10" borderId="0" xfId="0" applyFont="1" applyFill="1" applyAlignment="1">
      <alignment horizontal="left"/>
    </xf>
    <xf numFmtId="0" fontId="17" fillId="16" borderId="0" xfId="0" applyFont="1" applyFill="1" applyAlignment="1">
      <alignment horizontal="center"/>
    </xf>
    <xf numFmtId="166" fontId="52" fillId="11" borderId="0" xfId="6" applyNumberFormat="1" applyFont="1" applyFill="1" applyBorder="1" applyAlignment="1">
      <alignment horizontal="left" vertical="center"/>
    </xf>
    <xf numFmtId="0" fontId="54" fillId="0" borderId="0" xfId="0" applyFont="1" applyAlignment="1">
      <alignment wrapText="1"/>
    </xf>
    <xf numFmtId="0" fontId="42" fillId="0" borderId="0" xfId="0" applyFont="1" applyAlignment="1">
      <alignment wrapText="1"/>
    </xf>
    <xf numFmtId="0" fontId="0" fillId="0" borderId="0" xfId="0" applyAlignment="1">
      <alignment wrapText="1"/>
    </xf>
    <xf numFmtId="0" fontId="0" fillId="28" borderId="1" xfId="0" applyNumberFormat="1" applyFill="1" applyBorder="1" applyAlignment="1">
      <alignment horizontal="right"/>
    </xf>
    <xf numFmtId="0" fontId="55" fillId="29" borderId="30" xfId="0" applyFont="1" applyFill="1" applyBorder="1"/>
    <xf numFmtId="0" fontId="4" fillId="29" borderId="31" xfId="0" applyFont="1" applyFill="1" applyBorder="1"/>
    <xf numFmtId="0" fontId="55" fillId="29" borderId="29" xfId="0" applyFont="1" applyFill="1" applyBorder="1"/>
    <xf numFmtId="0" fontId="55" fillId="0" borderId="36" xfId="0" applyFont="1" applyFill="1" applyBorder="1"/>
    <xf numFmtId="0" fontId="55" fillId="0" borderId="13" xfId="0" applyFont="1" applyFill="1" applyBorder="1"/>
    <xf numFmtId="0" fontId="55" fillId="0" borderId="37" xfId="0" applyFont="1" applyFill="1" applyBorder="1"/>
    <xf numFmtId="0" fontId="55" fillId="0" borderId="4" xfId="0" applyFont="1" applyFill="1" applyBorder="1"/>
    <xf numFmtId="0" fontId="55" fillId="0" borderId="38" xfId="0" applyFont="1" applyFill="1" applyBorder="1"/>
    <xf numFmtId="0" fontId="55" fillId="0" borderId="39" xfId="0" applyFont="1" applyFill="1" applyBorder="1"/>
    <xf numFmtId="0" fontId="3" fillId="0" borderId="4" xfId="0" applyFont="1" applyFill="1" applyBorder="1"/>
    <xf numFmtId="0" fontId="3" fillId="0" borderId="40" xfId="0" applyFont="1" applyFill="1" applyBorder="1"/>
    <xf numFmtId="0" fontId="4" fillId="40"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6" fillId="0" borderId="0" xfId="7" applyNumberFormat="1" applyFont="1" applyFill="1" applyBorder="1"/>
    <xf numFmtId="0" fontId="4" fillId="39"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7" fillId="16" borderId="0" xfId="0" applyFont="1" applyFill="1" applyAlignment="1">
      <alignment horizontal="left"/>
    </xf>
    <xf numFmtId="16" fontId="41" fillId="41" borderId="5" xfId="0" quotePrefix="1" applyNumberFormat="1" applyFont="1" applyFill="1" applyBorder="1" applyAlignment="1">
      <alignment vertical="center" wrapText="1"/>
    </xf>
    <xf numFmtId="0" fontId="41" fillId="37" borderId="5" xfId="0" quotePrefix="1" applyFont="1" applyFill="1" applyBorder="1" applyAlignment="1">
      <alignment vertical="center" wrapText="1"/>
    </xf>
    <xf numFmtId="0" fontId="4" fillId="0" borderId="0" xfId="0" applyFont="1"/>
    <xf numFmtId="0" fontId="4" fillId="0" borderId="1" xfId="0" applyFont="1" applyBorder="1"/>
    <xf numFmtId="0" fontId="4" fillId="10" borderId="1" xfId="0" applyFont="1" applyFill="1" applyBorder="1"/>
    <xf numFmtId="0" fontId="58" fillId="0" borderId="0" xfId="0" applyFont="1" applyAlignment="1">
      <alignment horizontal="left"/>
    </xf>
    <xf numFmtId="0" fontId="58" fillId="0" borderId="0" xfId="0" applyFont="1"/>
    <xf numFmtId="0" fontId="58" fillId="0" borderId="0" xfId="0" applyFont="1" applyBorder="1"/>
    <xf numFmtId="0" fontId="58" fillId="0" borderId="0" xfId="0" applyFont="1" applyBorder="1" applyAlignment="1">
      <alignment horizontal="left"/>
    </xf>
    <xf numFmtId="0" fontId="58"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6" fillId="11" borderId="0" xfId="6" applyFont="1" applyFill="1" applyBorder="1" applyAlignment="1">
      <alignment vertical="center"/>
    </xf>
    <xf numFmtId="0" fontId="9" fillId="17" borderId="1" xfId="6" quotePrefix="1" applyFill="1" applyBorder="1" applyAlignment="1">
      <alignment horizontal="center"/>
    </xf>
    <xf numFmtId="165" fontId="24" fillId="0" borderId="46" xfId="10" applyNumberFormat="1" applyFont="1" applyBorder="1"/>
    <xf numFmtId="165" fontId="24" fillId="0" borderId="24" xfId="10" applyNumberFormat="1" applyFont="1" applyBorder="1"/>
    <xf numFmtId="0" fontId="0" fillId="0" borderId="4" xfId="0" applyBorder="1"/>
    <xf numFmtId="0" fontId="0" fillId="0" borderId="29" xfId="0" applyBorder="1" applyAlignment="1">
      <alignment horizontal="center" vertical="center" wrapText="1"/>
    </xf>
    <xf numFmtId="0" fontId="0" fillId="0" borderId="29" xfId="0" applyBorder="1" applyAlignment="1">
      <alignment horizontal="left" vertical="center" wrapText="1"/>
    </xf>
    <xf numFmtId="0" fontId="17" fillId="45" borderId="29" xfId="0" applyFont="1" applyFill="1" applyBorder="1" applyAlignment="1">
      <alignment horizontal="left" vertical="center"/>
    </xf>
    <xf numFmtId="0" fontId="17" fillId="45" borderId="29" xfId="0" applyFont="1" applyFill="1" applyBorder="1" applyAlignment="1">
      <alignment horizontal="left" vertical="center" wrapText="1"/>
    </xf>
    <xf numFmtId="0" fontId="17" fillId="45" borderId="29" xfId="0" applyFont="1" applyFill="1" applyBorder="1" applyAlignment="1">
      <alignment horizontal="left" vertical="top"/>
    </xf>
    <xf numFmtId="0" fontId="0" fillId="0" borderId="29" xfId="0" applyBorder="1" applyAlignment="1">
      <alignment vertical="center"/>
    </xf>
    <xf numFmtId="0" fontId="0" fillId="0" borderId="36" xfId="0" applyBorder="1"/>
    <xf numFmtId="0" fontId="0" fillId="43" borderId="0" xfId="0" applyFill="1" applyBorder="1"/>
    <xf numFmtId="0" fontId="0" fillId="0" borderId="26" xfId="0" applyBorder="1"/>
    <xf numFmtId="0" fontId="0" fillId="0" borderId="41" xfId="0" applyBorder="1"/>
    <xf numFmtId="0" fontId="11" fillId="11" borderId="21" xfId="6" applyFont="1" applyFill="1" applyBorder="1" applyAlignment="1">
      <alignment vertical="center"/>
    </xf>
    <xf numFmtId="0" fontId="11" fillId="11" borderId="20" xfId="6" applyFont="1" applyFill="1" applyBorder="1" applyAlignment="1">
      <alignment vertical="center"/>
    </xf>
    <xf numFmtId="0" fontId="0" fillId="43" borderId="20" xfId="0" applyFill="1" applyBorder="1"/>
    <xf numFmtId="0" fontId="0" fillId="43" borderId="28" xfId="0" applyFill="1" applyBorder="1"/>
    <xf numFmtId="0" fontId="0" fillId="43" borderId="36" xfId="0" applyFill="1" applyBorder="1"/>
    <xf numFmtId="0" fontId="10" fillId="11" borderId="41" xfId="6" applyFont="1" applyFill="1" applyBorder="1" applyAlignment="1">
      <alignment horizontal="center" vertical="center"/>
    </xf>
    <xf numFmtId="0" fontId="0" fillId="11" borderId="41" xfId="0" applyFill="1" applyBorder="1"/>
    <xf numFmtId="0" fontId="0" fillId="43" borderId="41" xfId="0" applyFill="1" applyBorder="1"/>
    <xf numFmtId="0" fontId="0" fillId="43" borderId="19"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1" xfId="0" applyBorder="1"/>
    <xf numFmtId="0" fontId="0" fillId="0" borderId="20" xfId="0" applyBorder="1"/>
    <xf numFmtId="0" fontId="0" fillId="0" borderId="28" xfId="0" applyBorder="1"/>
    <xf numFmtId="0" fontId="11" fillId="11" borderId="28" xfId="6" applyFont="1" applyFill="1" applyBorder="1" applyAlignment="1">
      <alignment vertical="center"/>
    </xf>
    <xf numFmtId="0" fontId="11" fillId="11" borderId="26" xfId="6" applyFont="1" applyFill="1" applyBorder="1" applyAlignment="1">
      <alignment vertical="center"/>
    </xf>
    <xf numFmtId="0" fontId="11" fillId="11" borderId="41" xfId="6" applyFont="1" applyFill="1" applyBorder="1" applyAlignment="1">
      <alignment vertical="center"/>
    </xf>
    <xf numFmtId="0" fontId="11" fillId="11" borderId="19"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6" xfId="6" applyFont="1" applyFill="1" applyBorder="1" applyAlignment="1">
      <alignment vertical="center"/>
    </xf>
    <xf numFmtId="0" fontId="10" fillId="11" borderId="19" xfId="6" applyFont="1" applyFill="1" applyBorder="1" applyAlignment="1">
      <alignment horizontal="center" vertical="center"/>
    </xf>
    <xf numFmtId="0" fontId="47" fillId="11" borderId="36" xfId="6" applyFont="1" applyFill="1" applyBorder="1" applyAlignment="1">
      <alignment vertical="center"/>
    </xf>
    <xf numFmtId="0" fontId="47" fillId="11" borderId="41" xfId="6" applyFont="1" applyFill="1" applyBorder="1" applyAlignment="1">
      <alignment vertical="center"/>
    </xf>
    <xf numFmtId="0" fontId="47" fillId="11" borderId="19" xfId="6" applyFont="1" applyFill="1" applyBorder="1" applyAlignment="1">
      <alignment vertical="center"/>
    </xf>
    <xf numFmtId="0" fontId="11" fillId="11" borderId="21" xfId="6" applyFont="1" applyFill="1" applyBorder="1" applyAlignment="1">
      <alignment horizontal="right" vertical="center"/>
    </xf>
    <xf numFmtId="0" fontId="59" fillId="43" borderId="20" xfId="0" applyFont="1" applyFill="1" applyBorder="1"/>
    <xf numFmtId="9" fontId="59" fillId="43" borderId="28" xfId="8" applyFont="1" applyFill="1" applyBorder="1"/>
    <xf numFmtId="0" fontId="59" fillId="43" borderId="0" xfId="0" applyFont="1" applyFill="1" applyBorder="1"/>
    <xf numFmtId="9" fontId="59" fillId="43" borderId="36"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9" fillId="11" borderId="20" xfId="6" applyFont="1" applyFill="1" applyBorder="1" applyAlignment="1">
      <alignment vertical="center"/>
    </xf>
    <xf numFmtId="0" fontId="11" fillId="43" borderId="20" xfId="6" applyFont="1" applyFill="1" applyBorder="1" applyAlignment="1">
      <alignment vertical="center"/>
    </xf>
    <xf numFmtId="0" fontId="11" fillId="43" borderId="20" xfId="6" applyFont="1" applyFill="1" applyBorder="1" applyAlignment="1">
      <alignment horizontal="left" vertical="center"/>
    </xf>
    <xf numFmtId="0" fontId="25" fillId="43" borderId="0" xfId="0" applyFont="1" applyFill="1" applyBorder="1" applyAlignment="1"/>
    <xf numFmtId="0" fontId="10" fillId="43" borderId="41" xfId="6" applyFont="1" applyFill="1" applyBorder="1" applyAlignment="1">
      <alignment horizontal="center" vertical="center"/>
    </xf>
    <xf numFmtId="0" fontId="5" fillId="43" borderId="41"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8"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7" fillId="11" borderId="20" xfId="6" applyFont="1" applyFill="1" applyBorder="1" applyAlignment="1">
      <alignment vertical="center"/>
    </xf>
    <xf numFmtId="0" fontId="11" fillId="11" borderId="4" xfId="6" applyFont="1" applyFill="1" applyBorder="1" applyAlignment="1">
      <alignment vertical="center"/>
    </xf>
    <xf numFmtId="0" fontId="0" fillId="3" borderId="35" xfId="0" applyFill="1" applyBorder="1" applyAlignment="1">
      <alignment horizontal="center" textRotation="90"/>
    </xf>
    <xf numFmtId="0" fontId="0" fillId="3" borderId="51" xfId="0" applyFill="1" applyBorder="1" applyAlignment="1">
      <alignment horizontal="center" textRotation="90"/>
    </xf>
    <xf numFmtId="0" fontId="0" fillId="0" borderId="17" xfId="0" applyBorder="1" applyAlignment="1">
      <alignment horizontal="center" textRotation="90"/>
    </xf>
    <xf numFmtId="0" fontId="0" fillId="0" borderId="0" xfId="0" applyBorder="1" applyAlignment="1">
      <alignment horizontal="center" textRotation="90"/>
    </xf>
    <xf numFmtId="0" fontId="0" fillId="0" borderId="18" xfId="0" applyBorder="1" applyAlignment="1">
      <alignment horizontal="center" textRotation="90"/>
    </xf>
    <xf numFmtId="165" fontId="4" fillId="0" borderId="0" xfId="7" applyNumberFormat="1" applyFont="1" applyFill="1" applyBorder="1"/>
    <xf numFmtId="165" fontId="4" fillId="0" borderId="18" xfId="7" applyNumberFormat="1" applyFont="1" applyFill="1" applyBorder="1"/>
    <xf numFmtId="165" fontId="4" fillId="0" borderId="17" xfId="7" applyNumberFormat="1" applyFont="1" applyFill="1" applyBorder="1"/>
    <xf numFmtId="165" fontId="4" fillId="0" borderId="15" xfId="7" applyNumberFormat="1" applyFont="1" applyFill="1" applyBorder="1"/>
    <xf numFmtId="165" fontId="4" fillId="0" borderId="16" xfId="7" applyNumberFormat="1" applyFont="1" applyFill="1" applyBorder="1"/>
    <xf numFmtId="0" fontId="0" fillId="0" borderId="48" xfId="0" applyBorder="1"/>
    <xf numFmtId="0" fontId="0" fillId="0" borderId="49" xfId="0" applyBorder="1"/>
    <xf numFmtId="0" fontId="0" fillId="0" borderId="50" xfId="0" applyBorder="1"/>
    <xf numFmtId="0" fontId="61" fillId="43" borderId="0" xfId="0" applyFont="1" applyFill="1" applyAlignment="1"/>
    <xf numFmtId="0" fontId="61" fillId="43" borderId="36" xfId="0" applyFont="1" applyFill="1" applyBorder="1" applyAlignment="1"/>
    <xf numFmtId="0" fontId="41" fillId="0" borderId="1" xfId="0" applyFont="1" applyBorder="1"/>
    <xf numFmtId="165" fontId="41" fillId="0" borderId="1" xfId="7" quotePrefix="1" applyNumberFormat="1" applyFont="1" applyBorder="1"/>
    <xf numFmtId="0" fontId="41" fillId="0" borderId="1" xfId="0" applyFont="1" applyBorder="1" applyAlignment="1">
      <alignment horizontal="left"/>
    </xf>
    <xf numFmtId="0" fontId="41" fillId="0" borderId="1" xfId="0" pivotButton="1" applyFont="1" applyBorder="1"/>
    <xf numFmtId="165" fontId="41" fillId="0" borderId="1" xfId="0" applyNumberFormat="1" applyFont="1" applyBorder="1"/>
    <xf numFmtId="0" fontId="42" fillId="0" borderId="44" xfId="0" applyFont="1" applyFill="1" applyBorder="1" applyAlignment="1">
      <alignment horizontal="center" vertical="center" wrapText="1"/>
    </xf>
    <xf numFmtId="0" fontId="0" fillId="0" borderId="0" xfId="0" pivotButton="1" applyAlignment="1">
      <alignment wrapText="1"/>
    </xf>
    <xf numFmtId="0" fontId="42" fillId="0" borderId="42" xfId="0" applyFont="1" applyFill="1" applyBorder="1" applyAlignment="1">
      <alignment horizontal="center" vertical="center"/>
    </xf>
    <xf numFmtId="0" fontId="42" fillId="0" borderId="43" xfId="0" applyFont="1" applyFill="1" applyBorder="1" applyAlignment="1">
      <alignment horizontal="center" vertical="center"/>
    </xf>
    <xf numFmtId="0" fontId="42" fillId="0" borderId="43" xfId="0" applyFont="1" applyFill="1" applyBorder="1" applyAlignment="1">
      <alignment vertical="center"/>
    </xf>
    <xf numFmtId="0" fontId="42" fillId="0" borderId="43" xfId="0" applyFont="1" applyFill="1" applyBorder="1" applyAlignment="1">
      <alignment horizontal="center" vertical="center" wrapText="1"/>
    </xf>
    <xf numFmtId="167" fontId="42" fillId="0" borderId="1" xfId="0" applyNumberFormat="1" applyFont="1" applyFill="1" applyBorder="1"/>
    <xf numFmtId="167" fontId="42" fillId="0" borderId="1" xfId="1" applyNumberFormat="1" applyFont="1" applyFill="1" applyBorder="1" applyAlignment="1">
      <alignment vertical="center"/>
    </xf>
    <xf numFmtId="167" fontId="42" fillId="0" borderId="1" xfId="1" applyNumberFormat="1" applyFont="1" applyFill="1" applyBorder="1" applyAlignment="1">
      <alignment vertical="center" wrapText="1"/>
    </xf>
    <xf numFmtId="167" fontId="42" fillId="0" borderId="1" xfId="1" applyNumberFormat="1" applyFont="1" applyFill="1" applyBorder="1"/>
    <xf numFmtId="0" fontId="0" fillId="0" borderId="0" xfId="0" applyFont="1"/>
    <xf numFmtId="167" fontId="42" fillId="0" borderId="1" xfId="1" applyNumberFormat="1" applyFont="1" applyFill="1" applyBorder="1" applyAlignment="1">
      <alignment wrapText="1"/>
    </xf>
    <xf numFmtId="1" fontId="11" fillId="11" borderId="20" xfId="6" applyNumberFormat="1" applyFont="1" applyFill="1" applyBorder="1" applyAlignment="1">
      <alignment vertical="center"/>
    </xf>
    <xf numFmtId="1" fontId="0" fillId="3" borderId="1" xfId="0" applyNumberFormat="1" applyFill="1" applyBorder="1" applyAlignment="1"/>
    <xf numFmtId="1" fontId="0" fillId="0" borderId="0" xfId="0" applyNumberFormat="1" applyAlignment="1">
      <alignment horizontal="left"/>
    </xf>
    <xf numFmtId="0" fontId="0" fillId="0" borderId="41" xfId="0" applyNumberFormat="1" applyBorder="1"/>
    <xf numFmtId="0" fontId="0" fillId="0" borderId="21" xfId="0" pivotButton="1" applyFont="1" applyBorder="1"/>
    <xf numFmtId="0" fontId="0" fillId="0" borderId="20" xfId="0" pivotButton="1" applyFont="1" applyBorder="1"/>
    <xf numFmtId="0" fontId="0" fillId="0" borderId="20" xfId="0" applyFont="1" applyBorder="1"/>
    <xf numFmtId="0" fontId="0" fillId="0" borderId="28" xfId="0" applyFont="1" applyBorder="1"/>
    <xf numFmtId="0" fontId="0" fillId="0" borderId="4" xfId="0" pivotButton="1" applyFont="1" applyBorder="1"/>
    <xf numFmtId="0" fontId="0" fillId="0" borderId="0" xfId="0" applyFont="1" applyBorder="1"/>
    <xf numFmtId="0" fontId="0" fillId="0" borderId="36" xfId="0" applyFont="1" applyBorder="1"/>
    <xf numFmtId="0" fontId="0" fillId="0" borderId="4" xfId="0" applyFont="1" applyBorder="1" applyAlignment="1">
      <alignment horizontal="left"/>
    </xf>
    <xf numFmtId="0" fontId="0" fillId="0" borderId="0" xfId="0" applyNumberFormat="1" applyFont="1" applyBorder="1"/>
    <xf numFmtId="0" fontId="0" fillId="0" borderId="36" xfId="0" applyNumberFormat="1" applyFont="1" applyBorder="1"/>
    <xf numFmtId="0" fontId="0" fillId="0" borderId="26" xfId="0" applyFont="1" applyBorder="1" applyAlignment="1">
      <alignment horizontal="left"/>
    </xf>
    <xf numFmtId="0" fontId="0" fillId="0" borderId="41" xfId="0" applyNumberFormat="1" applyFont="1" applyBorder="1"/>
    <xf numFmtId="0" fontId="0" fillId="0" borderId="19" xfId="0" applyNumberFormat="1" applyFont="1" applyBorder="1"/>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36" xfId="0" applyNumberFormat="1" applyBorder="1"/>
    <xf numFmtId="165" fontId="0" fillId="0" borderId="19" xfId="0" applyNumberFormat="1" applyBorder="1"/>
    <xf numFmtId="165" fontId="0" fillId="0" borderId="11"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18" fillId="44" borderId="0" xfId="0" applyFont="1" applyFill="1" applyBorder="1" applyAlignment="1"/>
    <xf numFmtId="168" fontId="0" fillId="44" borderId="0" xfId="0" applyNumberFormat="1" applyFill="1" applyBorder="1" applyAlignment="1"/>
    <xf numFmtId="0" fontId="0" fillId="0" borderId="0" xfId="0" pivotButton="1" applyBorder="1"/>
    <xf numFmtId="0" fontId="0" fillId="0" borderId="0" xfId="0" applyBorder="1" applyAlignment="1">
      <alignment horizontal="left"/>
    </xf>
    <xf numFmtId="0" fontId="7" fillId="0" borderId="0" xfId="5" applyFont="1" applyFill="1" applyBorder="1" applyAlignment="1">
      <alignment horizontal="center"/>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vertical="top"/>
    </xf>
    <xf numFmtId="169" fontId="0" fillId="0" borderId="0" xfId="8" applyNumberFormat="1" applyFont="1" applyFill="1" applyBorder="1" applyAlignment="1">
      <alignment horizontal="left" vertical="top"/>
    </xf>
    <xf numFmtId="169" fontId="13" fillId="0" borderId="0" xfId="8" applyNumberFormat="1" applyFont="1" applyFill="1" applyBorder="1" applyAlignment="1">
      <alignment horizontal="left" vertical="center" wrapText="1"/>
    </xf>
    <xf numFmtId="0" fontId="24" fillId="0" borderId="0" xfId="0" applyFont="1" applyFill="1" applyBorder="1"/>
    <xf numFmtId="0" fontId="0" fillId="0" borderId="0" xfId="0" applyFill="1" applyBorder="1" applyAlignment="1">
      <alignment horizontal="center" vertical="center"/>
    </xf>
    <xf numFmtId="0" fontId="0" fillId="0" borderId="0" xfId="0" applyFill="1" applyBorder="1" applyAlignment="1">
      <alignment horizontal="left"/>
    </xf>
    <xf numFmtId="0" fontId="18" fillId="44" borderId="0" xfId="0" applyFont="1" applyFill="1" applyBorder="1" applyAlignment="1">
      <alignment horizontal="left"/>
    </xf>
    <xf numFmtId="168" fontId="0" fillId="44" borderId="0" xfId="0" applyNumberFormat="1" applyFill="1" applyBorder="1" applyAlignment="1">
      <alignment horizontal="left"/>
    </xf>
    <xf numFmtId="0" fontId="0" fillId="0" borderId="0" xfId="0" applyBorder="1" applyAlignment="1"/>
    <xf numFmtId="0" fontId="18" fillId="44" borderId="0" xfId="0" applyFont="1" applyFill="1" applyBorder="1" applyAlignment="1">
      <alignment horizontal="right" vertical="center"/>
    </xf>
    <xf numFmtId="168" fontId="0" fillId="44" borderId="0" xfId="0" applyNumberFormat="1" applyFill="1" applyBorder="1" applyAlignment="1">
      <alignment horizontal="right" vertical="center"/>
    </xf>
    <xf numFmtId="0" fontId="0" fillId="0" borderId="0" xfId="0" applyBorder="1" applyAlignment="1">
      <alignment horizontal="right" vertical="center"/>
    </xf>
    <xf numFmtId="3" fontId="0" fillId="0" borderId="0" xfId="0" applyNumberFormat="1" applyBorder="1" applyAlignment="1">
      <alignment horizontal="right" vertical="center"/>
    </xf>
    <xf numFmtId="0" fontId="0" fillId="0" borderId="0" xfId="0" applyFont="1" applyBorder="1" applyAlignment="1">
      <alignment horizontal="left"/>
    </xf>
    <xf numFmtId="165" fontId="0" fillId="0" borderId="14" xfId="7" applyNumberFormat="1" applyFont="1" applyFill="1" applyBorder="1"/>
    <xf numFmtId="165" fontId="0" fillId="0" borderId="0" xfId="7" applyNumberFormat="1" applyFont="1" applyFill="1"/>
    <xf numFmtId="165" fontId="0" fillId="0" borderId="17" xfId="7" applyNumberFormat="1" applyFont="1" applyFill="1" applyBorder="1"/>
    <xf numFmtId="165" fontId="0" fillId="0" borderId="0" xfId="7" applyNumberFormat="1" applyFont="1" applyFill="1" applyBorder="1"/>
    <xf numFmtId="165" fontId="0" fillId="0" borderId="17" xfId="7" applyNumberFormat="1" applyFont="1" applyBorder="1"/>
    <xf numFmtId="165" fontId="0" fillId="0" borderId="0" xfId="7" applyNumberFormat="1" applyFont="1" applyBorder="1"/>
    <xf numFmtId="165" fontId="0" fillId="0" borderId="18" xfId="7" applyNumberFormat="1" applyFont="1" applyBorder="1"/>
    <xf numFmtId="9" fontId="0" fillId="0" borderId="0" xfId="8" applyFont="1" applyFill="1" applyBorder="1" applyAlignment="1">
      <alignment horizontal="left" vertical="center"/>
    </xf>
    <xf numFmtId="0" fontId="0" fillId="43" borderId="41" xfId="0" applyNumberFormat="1" applyFill="1" applyBorder="1"/>
    <xf numFmtId="0" fontId="0" fillId="43" borderId="41" xfId="0" applyNumberFormat="1" applyFill="1" applyBorder="1" applyAlignment="1">
      <alignment horizontal="right"/>
    </xf>
    <xf numFmtId="0" fontId="63" fillId="43" borderId="19" xfId="0" applyNumberFormat="1" applyFont="1" applyFill="1" applyBorder="1" applyAlignment="1">
      <alignment horizontal="right"/>
    </xf>
    <xf numFmtId="0" fontId="0" fillId="43" borderId="26" xfId="0" applyNumberFormat="1" applyFill="1" applyBorder="1"/>
    <xf numFmtId="0" fontId="0" fillId="0" borderId="26" xfId="0" applyNumberFormat="1" applyBorder="1"/>
    <xf numFmtId="3" fontId="0" fillId="43" borderId="41" xfId="0" applyNumberFormat="1" applyFill="1" applyBorder="1" applyAlignment="1">
      <alignment horizontal="right" vertical="center"/>
    </xf>
    <xf numFmtId="3" fontId="0" fillId="0" borderId="41" xfId="0" applyNumberFormat="1" applyBorder="1" applyAlignment="1">
      <alignment horizontal="right" vertical="center"/>
    </xf>
    <xf numFmtId="0" fontId="0" fillId="43" borderId="26" xfId="0" applyNumberFormat="1" applyFill="1" applyBorder="1" applyAlignment="1">
      <alignment horizontal="right"/>
    </xf>
    <xf numFmtId="49" fontId="0" fillId="0" borderId="0" xfId="0" applyNumberFormat="1"/>
    <xf numFmtId="167" fontId="42" fillId="0" borderId="11" xfId="0" applyNumberFormat="1" applyFont="1" applyFill="1" applyBorder="1"/>
    <xf numFmtId="167" fontId="42"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165" fontId="0" fillId="0" borderId="0" xfId="0" applyNumberFormat="1" applyBorder="1"/>
    <xf numFmtId="0" fontId="0" fillId="0" borderId="0" xfId="0" applyBorder="1" applyAlignment="1">
      <alignment horizontal="left"/>
    </xf>
    <xf numFmtId="167" fontId="4" fillId="0" borderId="1" xfId="1" applyNumberFormat="1" applyFont="1" applyBorder="1"/>
    <xf numFmtId="0" fontId="14" fillId="0" borderId="3" xfId="0" applyFont="1" applyBorder="1" applyAlignment="1">
      <alignment horizontal="center" vertical="center"/>
    </xf>
    <xf numFmtId="0" fontId="14" fillId="0" borderId="11" xfId="0" applyFont="1" applyBorder="1" applyAlignment="1">
      <alignment horizontal="center" vertical="center"/>
    </xf>
    <xf numFmtId="0" fontId="14" fillId="0" borderId="1" xfId="0" applyFont="1" applyBorder="1" applyAlignment="1">
      <alignment horizontal="center" vertical="center"/>
    </xf>
    <xf numFmtId="0" fontId="14" fillId="0" borderId="1" xfId="0" applyFont="1" applyFill="1" applyBorder="1" applyAlignment="1">
      <alignment horizontal="center" vertical="center"/>
    </xf>
    <xf numFmtId="170" fontId="62" fillId="2" borderId="0" xfId="0" applyNumberFormat="1" applyFont="1" applyFill="1" applyBorder="1"/>
    <xf numFmtId="49" fontId="62" fillId="0" borderId="1" xfId="0" applyNumberFormat="1" applyFont="1" applyBorder="1"/>
    <xf numFmtId="0" fontId="14" fillId="42" borderId="1" xfId="0" applyFont="1" applyFill="1" applyBorder="1" applyAlignment="1">
      <alignment horizontal="center" vertical="center" wrapText="1"/>
    </xf>
    <xf numFmtId="165" fontId="14" fillId="42" borderId="1" xfId="7" applyNumberFormat="1" applyFont="1" applyFill="1" applyBorder="1" applyAlignment="1">
      <alignment horizontal="center" vertical="center" wrapText="1"/>
    </xf>
    <xf numFmtId="165" fontId="4" fillId="0" borderId="1" xfId="7" applyNumberFormat="1" applyFont="1" applyBorder="1"/>
    <xf numFmtId="17" fontId="14" fillId="42" borderId="1" xfId="0" applyNumberFormat="1" applyFont="1" applyFill="1" applyBorder="1" applyAlignment="1">
      <alignment vertical="center" wrapText="1"/>
    </xf>
    <xf numFmtId="170" fontId="4" fillId="2" borderId="0" xfId="0" applyNumberFormat="1" applyFont="1" applyFill="1" applyBorder="1"/>
    <xf numFmtId="49" fontId="4" fillId="38" borderId="3" xfId="0" applyNumberFormat="1" applyFont="1" applyFill="1" applyBorder="1"/>
    <xf numFmtId="49" fontId="4" fillId="0" borderId="1" xfId="0" applyNumberFormat="1" applyFont="1" applyBorder="1"/>
    <xf numFmtId="49" fontId="14" fillId="42"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8" borderId="28" xfId="0" applyNumberFormat="1" applyFont="1" applyFill="1" applyBorder="1"/>
    <xf numFmtId="165" fontId="4" fillId="0" borderId="5" xfId="7" applyNumberFormat="1" applyFont="1" applyBorder="1"/>
    <xf numFmtId="0" fontId="14" fillId="0" borderId="36" xfId="0" applyFont="1" applyBorder="1" applyAlignment="1">
      <alignment vertical="center"/>
    </xf>
    <xf numFmtId="0" fontId="14" fillId="0" borderId="13" xfId="0" applyFont="1" applyBorder="1" applyAlignment="1">
      <alignment vertical="center"/>
    </xf>
    <xf numFmtId="0" fontId="14" fillId="0" borderId="13" xfId="0" applyFont="1" applyBorder="1" applyAlignment="1">
      <alignment horizontal="center" vertical="center"/>
    </xf>
    <xf numFmtId="0" fontId="14" fillId="42" borderId="26" xfId="0" applyFont="1" applyFill="1" applyBorder="1" applyAlignment="1">
      <alignment vertical="center" wrapText="1"/>
    </xf>
    <xf numFmtId="170" fontId="14" fillId="42" borderId="0" xfId="0" applyNumberFormat="1" applyFont="1" applyFill="1" applyBorder="1" applyAlignment="1">
      <alignment vertical="center" wrapText="1"/>
    </xf>
    <xf numFmtId="49" fontId="14" fillId="42" borderId="5" xfId="0" applyNumberFormat="1" applyFont="1" applyFill="1" applyBorder="1" applyAlignment="1">
      <alignment vertical="center" wrapText="1"/>
    </xf>
    <xf numFmtId="170" fontId="62" fillId="0" borderId="0" xfId="0" applyNumberFormat="1" applyFont="1" applyBorder="1"/>
    <xf numFmtId="167" fontId="62" fillId="38" borderId="1" xfId="1" applyNumberFormat="1" applyFont="1" applyFill="1" applyBorder="1"/>
    <xf numFmtId="0" fontId="14" fillId="42" borderId="19" xfId="0" applyFont="1" applyFill="1" applyBorder="1" applyAlignment="1">
      <alignment vertical="center" wrapText="1"/>
    </xf>
    <xf numFmtId="165" fontId="0" fillId="0" borderId="3" xfId="7" quotePrefix="1" applyNumberFormat="1" applyFont="1" applyBorder="1"/>
    <xf numFmtId="0" fontId="0" fillId="10" borderId="1" xfId="0" applyFill="1" applyBorder="1" applyAlignment="1">
      <alignment horizontal="left" indent="1"/>
    </xf>
    <xf numFmtId="170" fontId="62" fillId="0" borderId="0" xfId="0" applyNumberFormat="1" applyFont="1"/>
    <xf numFmtId="165" fontId="68" fillId="0" borderId="1" xfId="7" applyNumberFormat="1" applyFont="1" applyBorder="1"/>
    <xf numFmtId="170" fontId="68" fillId="2" borderId="0" xfId="0" applyNumberFormat="1" applyFont="1" applyFill="1" applyBorder="1"/>
    <xf numFmtId="1" fontId="0" fillId="0" borderId="0" xfId="8" applyNumberFormat="1" applyFont="1" applyFill="1" applyBorder="1"/>
    <xf numFmtId="169" fontId="0" fillId="0" borderId="0" xfId="8" applyNumberFormat="1" applyFont="1" applyFill="1" applyBorder="1"/>
    <xf numFmtId="1" fontId="13" fillId="0" borderId="0" xfId="8" applyNumberFormat="1" applyFont="1" applyFill="1" applyBorder="1" applyAlignment="1">
      <alignment horizontal="left" vertical="center" wrapText="1"/>
    </xf>
    <xf numFmtId="1" fontId="0" fillId="0" borderId="0" xfId="8" applyNumberFormat="1" applyFont="1" applyFill="1" applyBorder="1" applyAlignment="1">
      <alignment horizontal="left" vertical="top"/>
    </xf>
    <xf numFmtId="0" fontId="5" fillId="0" borderId="0" xfId="0" applyFont="1" applyFill="1" applyBorder="1" applyAlignment="1">
      <alignment horizontal="right"/>
    </xf>
    <xf numFmtId="49" fontId="55" fillId="0" borderId="1" xfId="0" applyNumberFormat="1" applyFont="1" applyFill="1" applyBorder="1" applyAlignment="1">
      <alignment vertical="center" wrapText="1"/>
    </xf>
    <xf numFmtId="170" fontId="0" fillId="0" borderId="0" xfId="0" applyNumberFormat="1" applyFont="1"/>
    <xf numFmtId="49" fontId="55" fillId="42" borderId="1" xfId="0" applyNumberFormat="1" applyFont="1" applyFill="1" applyBorder="1" applyAlignment="1">
      <alignment vertical="center" wrapText="1"/>
    </xf>
    <xf numFmtId="0" fontId="7" fillId="0" borderId="0" xfId="5" applyFont="1" applyFill="1" applyBorder="1" applyAlignment="1">
      <alignment horizontal="left" vertical="top" wrapText="1"/>
    </xf>
    <xf numFmtId="1" fontId="7" fillId="0" borderId="0" xfId="8" applyNumberFormat="1" applyFont="1" applyFill="1" applyBorder="1" applyAlignment="1">
      <alignment horizontal="left" vertical="top" wrapText="1"/>
    </xf>
    <xf numFmtId="169" fontId="7" fillId="0" borderId="0" xfId="8" applyNumberFormat="1" applyFont="1" applyFill="1" applyBorder="1" applyAlignment="1">
      <alignment horizontal="left" vertical="top" wrapText="1"/>
    </xf>
    <xf numFmtId="0" fontId="0" fillId="0" borderId="0" xfId="0" applyFill="1" applyBorder="1" applyAlignment="1">
      <alignment horizontal="left" vertical="top" wrapText="1"/>
    </xf>
    <xf numFmtId="0" fontId="53" fillId="0" borderId="0" xfId="5" applyNumberFormat="1" applyFont="1" applyFill="1" applyBorder="1" applyAlignment="1">
      <alignment horizontal="left" vertical="top" wrapText="1"/>
    </xf>
    <xf numFmtId="9" fontId="64" fillId="0" borderId="11" xfId="8" applyFont="1" applyFill="1" applyBorder="1" applyAlignment="1">
      <alignment horizontal="left" vertical="top" wrapText="1"/>
    </xf>
    <xf numFmtId="0" fontId="5" fillId="0" borderId="0" xfId="0" applyFont="1" applyFill="1" applyBorder="1" applyAlignment="1">
      <alignment horizontal="left" vertical="top" wrapText="1"/>
    </xf>
    <xf numFmtId="49" fontId="62" fillId="38" borderId="1" xfId="0" applyNumberFormat="1" applyFont="1" applyFill="1" applyBorder="1"/>
    <xf numFmtId="0" fontId="0" fillId="2" borderId="1" xfId="0" applyFill="1" applyBorder="1" applyAlignment="1">
      <alignment horizontal="left" indent="1"/>
    </xf>
    <xf numFmtId="165" fontId="0" fillId="2" borderId="0" xfId="0" applyNumberFormat="1" applyFill="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2" fillId="0" borderId="11" xfId="0" applyNumberFormat="1" applyFont="1" applyFill="1" applyBorder="1" applyAlignment="1">
      <alignment vertical="center"/>
    </xf>
    <xf numFmtId="49" fontId="42" fillId="0" borderId="1" xfId="0" applyNumberFormat="1" applyFont="1" applyFill="1" applyBorder="1" applyAlignment="1">
      <alignment vertical="center"/>
    </xf>
    <xf numFmtId="49" fontId="42" fillId="0" borderId="11" xfId="0" applyNumberFormat="1" applyFont="1" applyFill="1" applyBorder="1" applyAlignment="1">
      <alignment horizontal="left" vertical="center"/>
    </xf>
    <xf numFmtId="49" fontId="42" fillId="0" borderId="1" xfId="0" applyNumberFormat="1" applyFont="1" applyFill="1" applyBorder="1" applyAlignment="1">
      <alignment horizontal="left" vertical="center"/>
    </xf>
    <xf numFmtId="49" fontId="42" fillId="0" borderId="11" xfId="0" applyNumberFormat="1" applyFont="1" applyFill="1" applyBorder="1" applyAlignment="1">
      <alignment horizontal="left"/>
    </xf>
    <xf numFmtId="49" fontId="42" fillId="0" borderId="1" xfId="0" applyNumberFormat="1" applyFont="1" applyFill="1" applyBorder="1" applyAlignment="1">
      <alignment horizontal="left"/>
    </xf>
    <xf numFmtId="49" fontId="62" fillId="0" borderId="1" xfId="0" applyNumberFormat="1" applyFont="1" applyFill="1" applyBorder="1"/>
    <xf numFmtId="49" fontId="62" fillId="0" borderId="11" xfId="0" applyNumberFormat="1" applyFont="1" applyFill="1" applyBorder="1" applyAlignment="1"/>
    <xf numFmtId="49" fontId="62" fillId="0" borderId="1" xfId="0" applyNumberFormat="1" applyFont="1" applyFill="1" applyBorder="1" applyAlignment="1"/>
    <xf numFmtId="49" fontId="42"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2" fillId="0" borderId="5" xfId="0" applyNumberFormat="1" applyFont="1" applyBorder="1"/>
    <xf numFmtId="49" fontId="62" fillId="0" borderId="3" xfId="0" applyNumberFormat="1" applyFont="1" applyBorder="1"/>
    <xf numFmtId="49" fontId="68" fillId="38" borderId="3" xfId="0" applyNumberFormat="1" applyFont="1" applyFill="1" applyBorder="1"/>
    <xf numFmtId="49" fontId="69"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8" fillId="0" borderId="1" xfId="0" applyNumberFormat="1" applyFont="1" applyBorder="1"/>
    <xf numFmtId="49" fontId="70" fillId="42" borderId="1" xfId="0" applyNumberFormat="1" applyFont="1" applyFill="1" applyBorder="1" applyAlignment="1">
      <alignment vertical="center" wrapText="1"/>
    </xf>
    <xf numFmtId="49" fontId="70"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0" fillId="0" borderId="0" xfId="0" applyNumberFormat="1" applyFill="1" applyBorder="1" applyAlignment="1">
      <alignment vertical="top"/>
    </xf>
    <xf numFmtId="49" fontId="34" fillId="0" borderId="0" xfId="0" applyNumberFormat="1" applyFont="1" applyFill="1" applyBorder="1"/>
    <xf numFmtId="49" fontId="30" fillId="0" borderId="0" xfId="0" applyNumberFormat="1" applyFont="1" applyFill="1" applyBorder="1" applyAlignment="1">
      <alignment wrapText="1"/>
    </xf>
    <xf numFmtId="49" fontId="0" fillId="0" borderId="0" xfId="0" applyNumberFormat="1" applyFill="1" applyBorder="1" applyAlignment="1">
      <alignment horizontal="left" vertical="center" wrapText="1"/>
    </xf>
    <xf numFmtId="49" fontId="34" fillId="0" borderId="0" xfId="0" applyNumberFormat="1" applyFont="1" applyFill="1" applyBorder="1" applyAlignment="1">
      <alignment horizontal="left"/>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horizontal="left" vertical="center" wrapText="1"/>
    </xf>
    <xf numFmtId="49" fontId="24" fillId="0" borderId="0" xfId="0" applyNumberFormat="1" applyFont="1" applyFill="1" applyBorder="1"/>
    <xf numFmtId="49" fontId="0" fillId="0" borderId="0" xfId="0" applyNumberFormat="1" applyFill="1" applyBorder="1" applyAlignment="1">
      <alignment horizontal="center" vertical="center"/>
    </xf>
    <xf numFmtId="49" fontId="13" fillId="0" borderId="0" xfId="0" applyNumberFormat="1" applyFont="1" applyFill="1" applyBorder="1" applyAlignment="1">
      <alignment vertical="top"/>
    </xf>
    <xf numFmtId="49" fontId="71" fillId="0" borderId="1" xfId="0" applyNumberFormat="1" applyFont="1" applyBorder="1"/>
    <xf numFmtId="0" fontId="71" fillId="0" borderId="1" xfId="0" applyNumberFormat="1" applyFont="1" applyBorder="1"/>
    <xf numFmtId="165" fontId="71" fillId="0" borderId="1" xfId="7" applyNumberFormat="1" applyFont="1" applyBorder="1"/>
    <xf numFmtId="0" fontId="71" fillId="0" borderId="1" xfId="0" applyFont="1" applyBorder="1"/>
    <xf numFmtId="49" fontId="4" fillId="0" borderId="2" xfId="0" applyNumberFormat="1" applyFont="1" applyBorder="1"/>
    <xf numFmtId="0" fontId="72" fillId="42" borderId="1" xfId="0" applyFont="1" applyFill="1" applyBorder="1" applyAlignment="1">
      <alignment vertical="center" wrapText="1"/>
    </xf>
    <xf numFmtId="0" fontId="71" fillId="0" borderId="5" xfId="0" applyFont="1" applyBorder="1"/>
    <xf numFmtId="170" fontId="71" fillId="2" borderId="0" xfId="0" applyNumberFormat="1" applyFont="1" applyFill="1" applyBorder="1"/>
    <xf numFmtId="49" fontId="4" fillId="0" borderId="21" xfId="0" applyNumberFormat="1" applyFont="1" applyBorder="1"/>
    <xf numFmtId="49" fontId="62" fillId="38" borderId="5" xfId="0" applyNumberFormat="1" applyFont="1" applyFill="1" applyBorder="1"/>
    <xf numFmtId="0" fontId="4" fillId="0" borderId="1" xfId="0" applyNumberFormat="1" applyFont="1" applyBorder="1"/>
    <xf numFmtId="49" fontId="55" fillId="42" borderId="5" xfId="0" applyNumberFormat="1" applyFont="1" applyFill="1" applyBorder="1" applyAlignment="1">
      <alignment vertical="center" wrapText="1"/>
    </xf>
    <xf numFmtId="49" fontId="70" fillId="0" borderId="5" xfId="0" applyNumberFormat="1" applyFont="1" applyFill="1" applyBorder="1" applyAlignment="1">
      <alignment vertical="center" wrapText="1"/>
    </xf>
    <xf numFmtId="49" fontId="55" fillId="0" borderId="5" xfId="0" applyNumberFormat="1" applyFont="1" applyFill="1" applyBorder="1" applyAlignment="1">
      <alignment vertical="center" wrapText="1"/>
    </xf>
    <xf numFmtId="0" fontId="0" fillId="21" borderId="0" xfId="0" applyFont="1" applyFill="1"/>
    <xf numFmtId="0" fontId="73" fillId="22" borderId="42" xfId="0" applyFont="1" applyFill="1" applyBorder="1" applyAlignment="1">
      <alignment horizontal="center" wrapText="1"/>
    </xf>
    <xf numFmtId="0" fontId="73" fillId="22" borderId="43" xfId="0" applyFont="1" applyFill="1" applyBorder="1" applyAlignment="1">
      <alignment horizontal="center" wrapText="1"/>
    </xf>
    <xf numFmtId="0" fontId="29" fillId="23" borderId="43" xfId="0" applyFont="1" applyFill="1" applyBorder="1" applyAlignment="1">
      <alignment horizontal="center" wrapText="1"/>
    </xf>
    <xf numFmtId="0" fontId="73" fillId="24" borderId="43" xfId="0" applyFont="1" applyFill="1" applyBorder="1" applyAlignment="1">
      <alignment horizontal="center" wrapText="1"/>
    </xf>
    <xf numFmtId="0" fontId="73" fillId="25" borderId="43" xfId="0" applyFont="1" applyFill="1" applyBorder="1" applyAlignment="1">
      <alignment horizontal="center" wrapText="1"/>
    </xf>
    <xf numFmtId="9" fontId="24" fillId="27" borderId="43" xfId="8" applyFont="1" applyFill="1" applyBorder="1" applyAlignment="1">
      <alignment horizontal="center"/>
    </xf>
    <xf numFmtId="0" fontId="29" fillId="26" borderId="43" xfId="0" applyFont="1" applyFill="1" applyBorder="1" applyAlignment="1">
      <alignment horizontal="center" wrapText="1"/>
    </xf>
    <xf numFmtId="0" fontId="29" fillId="26" borderId="44" xfId="0" applyFont="1" applyFill="1" applyBorder="1" applyAlignment="1">
      <alignment horizontal="center" wrapText="1"/>
    </xf>
    <xf numFmtId="0" fontId="32" fillId="0" borderId="45" xfId="0" applyFont="1" applyFill="1" applyBorder="1" applyAlignment="1">
      <alignment horizontal="left"/>
    </xf>
    <xf numFmtId="0" fontId="30" fillId="2" borderId="46" xfId="0" applyFont="1" applyFill="1" applyBorder="1" applyAlignment="1">
      <alignment horizontal="left"/>
    </xf>
    <xf numFmtId="165" fontId="30" fillId="0" borderId="46" xfId="10" applyNumberFormat="1" applyFont="1" applyFill="1" applyBorder="1" applyAlignment="1">
      <alignment horizontal="left"/>
    </xf>
    <xf numFmtId="9" fontId="24" fillId="24" borderId="46" xfId="8" applyFont="1" applyFill="1" applyBorder="1"/>
    <xf numFmtId="9" fontId="24" fillId="25" borderId="46" xfId="8" applyFont="1" applyFill="1" applyBorder="1"/>
    <xf numFmtId="9" fontId="29" fillId="23" borderId="46" xfId="8" applyFont="1" applyFill="1" applyBorder="1" applyAlignment="1">
      <alignment horizontal="right" vertical="center" wrapText="1"/>
    </xf>
    <xf numFmtId="9" fontId="24" fillId="27" borderId="46" xfId="8" applyFont="1" applyFill="1" applyBorder="1"/>
    <xf numFmtId="165" fontId="24" fillId="0" borderId="46" xfId="0" applyNumberFormat="1" applyFont="1" applyBorder="1"/>
    <xf numFmtId="9" fontId="24" fillId="26" borderId="47" xfId="8" applyFont="1" applyFill="1" applyBorder="1"/>
    <xf numFmtId="0" fontId="32" fillId="0" borderId="22" xfId="0" applyFont="1" applyFill="1" applyBorder="1" applyAlignment="1">
      <alignment horizontal="left"/>
    </xf>
    <xf numFmtId="0" fontId="30" fillId="2" borderId="1" xfId="0" applyFont="1" applyFill="1" applyBorder="1" applyAlignment="1">
      <alignment horizontal="left"/>
    </xf>
    <xf numFmtId="9" fontId="29" fillId="23" borderId="1" xfId="8" applyFont="1" applyFill="1" applyBorder="1" applyAlignment="1">
      <alignment horizontal="right" vertical="center" wrapText="1"/>
    </xf>
    <xf numFmtId="9" fontId="24" fillId="26" borderId="23" xfId="8" applyFont="1" applyFill="1" applyBorder="1"/>
    <xf numFmtId="0" fontId="32" fillId="0" borderId="34" xfId="0" applyFont="1" applyFill="1" applyBorder="1" applyAlignment="1">
      <alignment horizontal="left"/>
    </xf>
    <xf numFmtId="0" fontId="30" fillId="2" borderId="24" xfId="0" applyFont="1" applyFill="1" applyBorder="1" applyAlignment="1">
      <alignment horizontal="left"/>
    </xf>
    <xf numFmtId="165" fontId="30" fillId="0" borderId="24" xfId="10" applyNumberFormat="1" applyFont="1" applyFill="1" applyBorder="1" applyAlignment="1">
      <alignment horizontal="left"/>
    </xf>
    <xf numFmtId="9" fontId="24" fillId="24" borderId="24" xfId="8" applyFont="1" applyFill="1" applyBorder="1"/>
    <xf numFmtId="9" fontId="24" fillId="25" borderId="24" xfId="8" applyFont="1" applyFill="1" applyBorder="1"/>
    <xf numFmtId="9" fontId="29" fillId="23" borderId="24" xfId="8" applyFont="1" applyFill="1" applyBorder="1" applyAlignment="1">
      <alignment horizontal="right" vertical="center" wrapText="1"/>
    </xf>
    <xf numFmtId="9" fontId="24" fillId="27" borderId="24" xfId="8" applyFont="1" applyFill="1" applyBorder="1"/>
    <xf numFmtId="165" fontId="24" fillId="0" borderId="24" xfId="0" applyNumberFormat="1" applyFont="1" applyBorder="1"/>
    <xf numFmtId="9" fontId="24" fillId="26" borderId="25" xfId="8" applyFont="1" applyFill="1" applyBorder="1"/>
    <xf numFmtId="0" fontId="0" fillId="0" borderId="0" xfId="0" applyBorder="1" applyAlignment="1">
      <alignment horizontal="left"/>
    </xf>
    <xf numFmtId="0" fontId="0" fillId="0" borderId="19" xfId="0" applyNumberFormat="1" applyBorder="1"/>
    <xf numFmtId="3" fontId="0" fillId="0" borderId="0" xfId="0" applyNumberFormat="1" applyBorder="1"/>
    <xf numFmtId="3" fontId="0" fillId="0" borderId="41" xfId="0" applyNumberFormat="1" applyBorder="1"/>
    <xf numFmtId="0" fontId="46" fillId="43" borderId="0" xfId="6" applyFont="1" applyFill="1" applyBorder="1" applyAlignment="1">
      <alignment horizontal="left" vertical="center"/>
    </xf>
    <xf numFmtId="0" fontId="0" fillId="10" borderId="1" xfId="0" applyFill="1" applyBorder="1"/>
    <xf numFmtId="0" fontId="0" fillId="10" borderId="21" xfId="0" applyFill="1" applyBorder="1"/>
    <xf numFmtId="0" fontId="0" fillId="10" borderId="28" xfId="0" applyFill="1" applyBorder="1"/>
    <xf numFmtId="0" fontId="0" fillId="10" borderId="26" xfId="0" applyFill="1" applyBorder="1"/>
    <xf numFmtId="0" fontId="0" fillId="10" borderId="19" xfId="0" applyFill="1" applyBorder="1"/>
    <xf numFmtId="0" fontId="3" fillId="10" borderId="21" xfId="0" applyFont="1" applyFill="1" applyBorder="1"/>
    <xf numFmtId="0" fontId="0" fillId="0" borderId="20" xfId="0" pivotButton="1" applyBorder="1"/>
    <xf numFmtId="0" fontId="0" fillId="0" borderId="2" xfId="0" pivotButton="1" applyBorder="1"/>
    <xf numFmtId="0" fontId="0" fillId="0" borderId="21" xfId="0" pivotButton="1" applyBorder="1"/>
    <xf numFmtId="0" fontId="0" fillId="0" borderId="4" xfId="0" pivotButton="1" applyBorder="1"/>
    <xf numFmtId="0" fontId="0" fillId="0" borderId="4" xfId="0" applyBorder="1" applyAlignment="1">
      <alignment horizontal="left"/>
    </xf>
    <xf numFmtId="0" fontId="0" fillId="0" borderId="36" xfId="0" applyNumberFormat="1" applyBorder="1"/>
    <xf numFmtId="0" fontId="0" fillId="0" borderId="26" xfId="0" applyBorder="1" applyAlignment="1">
      <alignment horizontal="left"/>
    </xf>
    <xf numFmtId="0" fontId="0" fillId="10" borderId="2" xfId="0" applyFill="1" applyBorder="1"/>
    <xf numFmtId="0" fontId="0" fillId="10" borderId="3" xfId="0" applyFill="1" applyBorder="1"/>
    <xf numFmtId="3" fontId="0" fillId="0" borderId="36" xfId="0" applyNumberFormat="1" applyBorder="1"/>
    <xf numFmtId="0" fontId="0" fillId="0" borderId="4" xfId="0" applyBorder="1" applyAlignment="1">
      <alignment horizontal="left" indent="1"/>
    </xf>
    <xf numFmtId="3" fontId="0" fillId="0" borderId="19" xfId="0" applyNumberFormat="1" applyBorder="1"/>
    <xf numFmtId="0" fontId="18" fillId="43" borderId="14" xfId="0" applyFont="1" applyFill="1" applyBorder="1" applyAlignment="1">
      <alignment horizontal="left"/>
    </xf>
    <xf numFmtId="168" fontId="0" fillId="43" borderId="15" xfId="0" applyNumberFormat="1" applyFill="1" applyBorder="1" applyAlignment="1">
      <alignment horizontal="center" vertical="center"/>
    </xf>
    <xf numFmtId="168" fontId="0" fillId="43" borderId="16" xfId="0" applyNumberFormat="1" applyFill="1" applyBorder="1" applyAlignment="1">
      <alignment horizontal="center" vertical="center"/>
    </xf>
    <xf numFmtId="168" fontId="3" fillId="43" borderId="17" xfId="0" applyNumberFormat="1" applyFont="1" applyFill="1" applyBorder="1" applyAlignment="1">
      <alignment horizontal="left"/>
    </xf>
    <xf numFmtId="0" fontId="0" fillId="43" borderId="0" xfId="0" applyFill="1" applyBorder="1" applyAlignment="1">
      <alignment horizontal="center" vertical="center"/>
    </xf>
    <xf numFmtId="0" fontId="0" fillId="43" borderId="18" xfId="0" applyFill="1" applyBorder="1" applyAlignment="1">
      <alignment horizontal="center" vertical="center"/>
    </xf>
    <xf numFmtId="168" fontId="0" fillId="43" borderId="17" xfId="0" applyNumberFormat="1" applyFill="1" applyBorder="1" applyAlignment="1">
      <alignment horizontal="center" vertical="center"/>
    </xf>
    <xf numFmtId="168" fontId="0" fillId="43" borderId="0" xfId="0" applyNumberFormat="1" applyFill="1" applyBorder="1" applyAlignment="1">
      <alignment horizontal="center" vertical="center"/>
    </xf>
    <xf numFmtId="168" fontId="0" fillId="43" borderId="18" xfId="0" applyNumberFormat="1" applyFill="1" applyBorder="1" applyAlignment="1">
      <alignment horizontal="center" vertical="center"/>
    </xf>
    <xf numFmtId="0" fontId="11" fillId="43" borderId="0" xfId="6" applyFont="1" applyFill="1" applyBorder="1" applyAlignment="1">
      <alignment vertical="center"/>
    </xf>
    <xf numFmtId="0" fontId="11" fillId="11" borderId="14" xfId="6" applyFont="1" applyFill="1" applyBorder="1" applyAlignment="1">
      <alignment vertical="center"/>
    </xf>
    <xf numFmtId="0" fontId="11" fillId="11" borderId="15" xfId="6" applyFont="1" applyFill="1" applyBorder="1" applyAlignment="1">
      <alignment vertical="center"/>
    </xf>
    <xf numFmtId="0" fontId="46" fillId="11" borderId="17" xfId="6" applyFont="1" applyFill="1" applyBorder="1" applyAlignment="1">
      <alignment vertical="center"/>
    </xf>
    <xf numFmtId="0" fontId="0" fillId="43" borderId="17" xfId="0" applyFill="1" applyBorder="1"/>
    <xf numFmtId="0" fontId="0" fillId="43" borderId="18" xfId="0" applyFill="1" applyBorder="1"/>
    <xf numFmtId="0" fontId="11" fillId="43" borderId="17" xfId="6" applyFont="1" applyFill="1" applyBorder="1" applyAlignment="1">
      <alignment vertical="center"/>
    </xf>
    <xf numFmtId="0" fontId="11" fillId="43" borderId="18" xfId="6" applyFont="1" applyFill="1" applyBorder="1" applyAlignment="1">
      <alignment vertical="center"/>
    </xf>
    <xf numFmtId="0" fontId="0" fillId="5" borderId="48" xfId="0" applyFill="1" applyBorder="1"/>
    <xf numFmtId="0" fontId="0" fillId="5" borderId="49" xfId="0" applyFill="1" applyBorder="1"/>
    <xf numFmtId="0" fontId="0" fillId="5" borderId="50" xfId="0" applyFill="1" applyBorder="1"/>
    <xf numFmtId="0" fontId="11" fillId="11" borderId="16" xfId="6" applyFont="1" applyFill="1" applyBorder="1" applyAlignment="1">
      <alignment vertical="center"/>
    </xf>
    <xf numFmtId="0" fontId="46" fillId="11" borderId="18" xfId="6" applyFont="1" applyFill="1" applyBorder="1" applyAlignment="1">
      <alignment vertical="center"/>
    </xf>
    <xf numFmtId="166" fontId="48" fillId="11" borderId="53" xfId="6" applyNumberFormat="1" applyFont="1" applyFill="1" applyBorder="1" applyAlignment="1">
      <alignment horizontal="left" vertical="center"/>
    </xf>
    <xf numFmtId="0" fontId="47" fillId="5" borderId="0" xfId="6" applyFont="1" applyFill="1" applyBorder="1" applyAlignment="1">
      <alignment vertical="center"/>
    </xf>
    <xf numFmtId="0" fontId="13" fillId="10" borderId="0" xfId="0" applyFont="1" applyFill="1" applyBorder="1"/>
    <xf numFmtId="0" fontId="43" fillId="10" borderId="0" xfId="0" applyFont="1" applyFill="1" applyBorder="1"/>
    <xf numFmtId="0" fontId="21" fillId="10" borderId="0" xfId="0" applyFont="1" applyFill="1" applyBorder="1" applyAlignment="1"/>
    <xf numFmtId="0" fontId="21" fillId="10" borderId="0" xfId="0" applyFont="1" applyFill="1" applyBorder="1"/>
    <xf numFmtId="9" fontId="41" fillId="10" borderId="0" xfId="8" applyFont="1" applyFill="1" applyBorder="1" applyAlignment="1"/>
    <xf numFmtId="0" fontId="41" fillId="13" borderId="2" xfId="0" applyFont="1" applyFill="1" applyBorder="1" applyAlignment="1">
      <alignment vertical="center"/>
    </xf>
    <xf numFmtId="0" fontId="41" fillId="13" borderId="10" xfId="0" applyFont="1" applyFill="1" applyBorder="1" applyAlignment="1">
      <alignment vertical="center"/>
    </xf>
    <xf numFmtId="0" fontId="21" fillId="0" borderId="11" xfId="0" applyFont="1" applyFill="1" applyBorder="1" applyAlignment="1">
      <alignment wrapText="1"/>
    </xf>
    <xf numFmtId="0" fontId="21" fillId="0" borderId="26" xfId="0" applyFont="1" applyFill="1" applyBorder="1" applyAlignment="1">
      <alignment wrapText="1"/>
    </xf>
    <xf numFmtId="0" fontId="3" fillId="10" borderId="5" xfId="0" applyFont="1" applyFill="1" applyBorder="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5" borderId="18" xfId="0" applyFill="1" applyBorder="1"/>
    <xf numFmtId="0" fontId="0" fillId="10" borderId="18" xfId="0" applyFill="1" applyBorder="1"/>
    <xf numFmtId="0" fontId="0" fillId="10" borderId="18" xfId="0" applyFont="1" applyFill="1" applyBorder="1" applyAlignment="1"/>
    <xf numFmtId="0" fontId="0" fillId="10" borderId="18" xfId="0" applyFont="1" applyFill="1" applyBorder="1" applyAlignment="1">
      <alignment horizontal="center" vertical="center" wrapText="1"/>
    </xf>
    <xf numFmtId="0" fontId="0" fillId="10" borderId="17" xfId="0" applyFill="1" applyBorder="1"/>
    <xf numFmtId="0" fontId="0" fillId="10" borderId="48" xfId="0" applyFill="1" applyBorder="1"/>
    <xf numFmtId="0" fontId="0" fillId="10" borderId="49" xfId="0" applyFill="1" applyBorder="1"/>
    <xf numFmtId="0" fontId="0" fillId="10" borderId="50" xfId="0" applyFill="1" applyBorder="1"/>
    <xf numFmtId="0" fontId="25" fillId="10" borderId="0" xfId="0" applyFont="1" applyFill="1" applyBorder="1" applyAlignment="1"/>
    <xf numFmtId="0" fontId="8" fillId="10" borderId="0" xfId="0" applyFont="1" applyFill="1" applyBorder="1"/>
    <xf numFmtId="165" fontId="35" fillId="10" borderId="0" xfId="7" applyNumberFormat="1" applyFont="1" applyFill="1" applyBorder="1"/>
    <xf numFmtId="0" fontId="26" fillId="10" borderId="0" xfId="0" applyFont="1" applyFill="1" applyBorder="1"/>
    <xf numFmtId="9" fontId="31" fillId="10" borderId="0" xfId="8" applyFont="1" applyFill="1" applyBorder="1"/>
    <xf numFmtId="0" fontId="0" fillId="10" borderId="0" xfId="0" applyFont="1" applyFill="1" applyBorder="1"/>
    <xf numFmtId="0" fontId="0" fillId="10" borderId="18" xfId="0" applyFont="1" applyFill="1" applyBorder="1"/>
    <xf numFmtId="0" fontId="0" fillId="43" borderId="14" xfId="0" applyFill="1" applyBorder="1"/>
    <xf numFmtId="0" fontId="0" fillId="43" borderId="15" xfId="0" applyFill="1" applyBorder="1"/>
    <xf numFmtId="0" fontId="0" fillId="43" borderId="16" xfId="0" applyFill="1" applyBorder="1"/>
    <xf numFmtId="0" fontId="13" fillId="43" borderId="0" xfId="0" applyFont="1" applyFill="1" applyBorder="1"/>
    <xf numFmtId="0" fontId="47" fillId="43" borderId="0" xfId="6" applyFont="1" applyFill="1" applyBorder="1" applyAlignment="1">
      <alignment vertical="center"/>
    </xf>
    <xf numFmtId="0" fontId="47" fillId="43" borderId="41" xfId="6" applyFont="1" applyFill="1" applyBorder="1" applyAlignment="1">
      <alignment vertical="center"/>
    </xf>
    <xf numFmtId="0" fontId="25" fillId="43" borderId="41" xfId="0" applyFont="1" applyFill="1" applyBorder="1" applyAlignment="1"/>
    <xf numFmtId="0" fontId="0" fillId="43" borderId="53" xfId="0" applyFill="1" applyBorder="1"/>
    <xf numFmtId="0" fontId="0" fillId="0" borderId="17" xfId="0" applyFont="1" applyBorder="1"/>
    <xf numFmtId="0" fontId="27" fillId="22" borderId="42" xfId="0" applyFont="1" applyFill="1" applyBorder="1" applyAlignment="1">
      <alignment horizontal="center" vertical="center" wrapText="1"/>
    </xf>
    <xf numFmtId="0" fontId="27" fillId="22" borderId="43" xfId="0" applyFont="1" applyFill="1" applyBorder="1" applyAlignment="1">
      <alignment horizontal="center" vertical="center" wrapText="1"/>
    </xf>
    <xf numFmtId="0" fontId="28" fillId="23" borderId="43" xfId="0" applyFont="1" applyFill="1" applyBorder="1" applyAlignment="1">
      <alignment horizontal="center" vertical="center" wrapText="1"/>
    </xf>
    <xf numFmtId="0" fontId="27" fillId="24" borderId="43" xfId="0" applyFont="1" applyFill="1" applyBorder="1" applyAlignment="1">
      <alignment horizontal="center" vertical="center" wrapText="1"/>
    </xf>
    <xf numFmtId="0" fontId="27" fillId="25" borderId="43" xfId="0" applyFont="1" applyFill="1" applyBorder="1" applyAlignment="1">
      <alignment horizontal="center" vertical="center" wrapText="1"/>
    </xf>
    <xf numFmtId="0" fontId="29" fillId="23" borderId="42" xfId="0" applyFont="1" applyFill="1" applyBorder="1" applyAlignment="1">
      <alignment horizontal="center" vertical="center" wrapText="1"/>
    </xf>
    <xf numFmtId="0" fontId="29" fillId="23" borderId="44" xfId="0" applyFont="1" applyFill="1" applyBorder="1" applyAlignment="1">
      <alignment horizontal="center" vertical="center" wrapText="1"/>
    </xf>
    <xf numFmtId="9" fontId="24" fillId="27" borderId="43" xfId="8" applyFont="1" applyFill="1" applyBorder="1"/>
    <xf numFmtId="0" fontId="28" fillId="26" borderId="43" xfId="0" applyFont="1" applyFill="1" applyBorder="1" applyAlignment="1">
      <alignment horizontal="center" vertical="center" wrapText="1"/>
    </xf>
    <xf numFmtId="0" fontId="28" fillId="26" borderId="44" xfId="0" applyFont="1" applyFill="1" applyBorder="1" applyAlignment="1">
      <alignment horizontal="center" vertical="center" wrapText="1"/>
    </xf>
    <xf numFmtId="0" fontId="30" fillId="2" borderId="33" xfId="0" applyFont="1" applyFill="1" applyBorder="1" applyAlignment="1">
      <alignment horizontal="left"/>
    </xf>
    <xf numFmtId="0" fontId="30" fillId="2" borderId="10" xfId="0" applyFont="1" applyFill="1" applyBorder="1" applyAlignment="1">
      <alignment horizontal="left"/>
    </xf>
    <xf numFmtId="0" fontId="30" fillId="2" borderId="54" xfId="0" applyFont="1" applyFill="1" applyBorder="1" applyAlignment="1">
      <alignment horizontal="left"/>
    </xf>
    <xf numFmtId="9" fontId="29" fillId="23" borderId="44" xfId="8" applyFont="1" applyFill="1" applyBorder="1" applyAlignment="1">
      <alignment horizontal="right" vertical="center" wrapText="1"/>
    </xf>
    <xf numFmtId="0" fontId="0" fillId="10" borderId="20" xfId="0" applyFill="1" applyBorder="1"/>
    <xf numFmtId="0" fontId="0" fillId="10" borderId="4" xfId="0" applyFill="1" applyBorder="1"/>
    <xf numFmtId="0" fontId="0" fillId="10" borderId="36" xfId="0" applyFill="1" applyBorder="1"/>
    <xf numFmtId="0" fontId="19" fillId="10" borderId="0" xfId="0" applyFont="1" applyFill="1" applyBorder="1" applyAlignment="1">
      <alignment horizontal="center"/>
    </xf>
    <xf numFmtId="165" fontId="20" fillId="10" borderId="0" xfId="7" applyNumberFormat="1" applyFont="1" applyFill="1" applyBorder="1"/>
    <xf numFmtId="165" fontId="44" fillId="10" borderId="1" xfId="7" applyNumberFormat="1" applyFont="1" applyFill="1" applyBorder="1"/>
    <xf numFmtId="165" fontId="41" fillId="10" borderId="1" xfId="7" applyNumberFormat="1" applyFont="1" applyFill="1" applyBorder="1"/>
    <xf numFmtId="165" fontId="19" fillId="10" borderId="0" xfId="0" applyNumberFormat="1" applyFont="1" applyFill="1" applyBorder="1"/>
    <xf numFmtId="0" fontId="0" fillId="10" borderId="41" xfId="0" applyFill="1" applyBorder="1"/>
    <xf numFmtId="0" fontId="41" fillId="30" borderId="1" xfId="0" applyFont="1" applyFill="1" applyBorder="1"/>
    <xf numFmtId="165" fontId="41" fillId="10" borderId="1" xfId="7" quotePrefix="1" applyNumberFormat="1" applyFont="1" applyFill="1" applyBorder="1"/>
    <xf numFmtId="0" fontId="41" fillId="10" borderId="3" xfId="0" applyFont="1" applyFill="1" applyBorder="1"/>
    <xf numFmtId="9" fontId="41" fillId="10" borderId="2" xfId="8" applyFont="1" applyFill="1" applyBorder="1" applyAlignment="1">
      <alignment horizontal="right"/>
    </xf>
    <xf numFmtId="0" fontId="43" fillId="30" borderId="19" xfId="0" applyFont="1" applyFill="1" applyBorder="1" applyAlignment="1">
      <alignment vertical="top" wrapText="1"/>
    </xf>
    <xf numFmtId="0" fontId="43" fillId="30" borderId="11" xfId="0" applyFont="1" applyFill="1" applyBorder="1" applyAlignment="1">
      <alignment vertical="top" wrapText="1"/>
    </xf>
    <xf numFmtId="0" fontId="41" fillId="30" borderId="11" xfId="0" applyFont="1" applyFill="1" applyBorder="1" applyAlignment="1">
      <alignment wrapText="1"/>
    </xf>
    <xf numFmtId="0" fontId="41" fillId="30" borderId="26" xfId="0" applyFont="1" applyFill="1" applyBorder="1" applyAlignment="1">
      <alignment horizontal="left" wrapText="1"/>
    </xf>
    <xf numFmtId="0" fontId="43" fillId="10" borderId="28" xfId="0" applyFont="1" applyFill="1" applyBorder="1"/>
    <xf numFmtId="165" fontId="43" fillId="10" borderId="5" xfId="7" applyNumberFormat="1" applyFont="1" applyFill="1" applyBorder="1"/>
    <xf numFmtId="9" fontId="43" fillId="10" borderId="21" xfId="8" applyFont="1" applyFill="1" applyBorder="1" applyAlignment="1">
      <alignment horizontal="right"/>
    </xf>
    <xf numFmtId="3" fontId="0" fillId="43" borderId="2" xfId="0" applyNumberFormat="1" applyFill="1" applyBorder="1" applyAlignment="1">
      <alignment horizontal="right" vertical="center"/>
    </xf>
    <xf numFmtId="165" fontId="0" fillId="43" borderId="10" xfId="0" applyNumberFormat="1" applyFill="1" applyBorder="1" applyAlignment="1">
      <alignment horizontal="right"/>
    </xf>
    <xf numFmtId="0" fontId="0" fillId="43" borderId="3" xfId="0" applyNumberFormat="1" applyFill="1" applyBorder="1" applyAlignment="1">
      <alignment horizontal="right"/>
    </xf>
    <xf numFmtId="3" fontId="0" fillId="43" borderId="30" xfId="0" applyNumberFormat="1" applyFill="1" applyBorder="1" applyAlignment="1">
      <alignment horizontal="right" vertical="center"/>
    </xf>
    <xf numFmtId="165" fontId="0" fillId="43" borderId="31" xfId="0" applyNumberFormat="1" applyFill="1" applyBorder="1"/>
    <xf numFmtId="0" fontId="0" fillId="43" borderId="32" xfId="0" applyNumberFormat="1" applyFill="1" applyBorder="1"/>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8" borderId="3" xfId="0" applyFont="1" applyFill="1" applyBorder="1"/>
    <xf numFmtId="0" fontId="62" fillId="0" borderId="1" xfId="0" applyFont="1" applyBorder="1"/>
    <xf numFmtId="0" fontId="14" fillId="42" borderId="1" xfId="0" applyFont="1" applyFill="1" applyBorder="1" applyAlignment="1">
      <alignment vertical="center" wrapText="1"/>
    </xf>
    <xf numFmtId="0" fontId="14" fillId="0" borderId="1" xfId="0" applyFont="1" applyFill="1" applyBorder="1" applyAlignment="1">
      <alignment vertical="center" wrapText="1"/>
    </xf>
    <xf numFmtId="0" fontId="4" fillId="0" borderId="2" xfId="0" applyFont="1" applyBorder="1"/>
    <xf numFmtId="170" fontId="4" fillId="2" borderId="0" xfId="0" applyNumberFormat="1" applyFont="1" applyFill="1"/>
    <xf numFmtId="0" fontId="62" fillId="38" borderId="1" xfId="0" applyFont="1" applyFill="1" applyBorder="1"/>
    <xf numFmtId="0" fontId="4" fillId="0" borderId="5" xfId="0" applyNumberFormat="1" applyFont="1" applyBorder="1"/>
    <xf numFmtId="0" fontId="14" fillId="42" borderId="5" xfId="0" applyFont="1" applyFill="1" applyBorder="1" applyAlignment="1">
      <alignment vertical="center" wrapText="1"/>
    </xf>
    <xf numFmtId="0" fontId="62" fillId="0" borderId="3" xfId="0" applyFont="1" applyBorder="1"/>
    <xf numFmtId="0" fontId="0" fillId="0" borderId="1" xfId="0" applyFont="1" applyBorder="1"/>
    <xf numFmtId="0" fontId="0" fillId="0" borderId="1" xfId="0" applyFont="1" applyFill="1" applyBorder="1"/>
    <xf numFmtId="0" fontId="0" fillId="0" borderId="5" xfId="0" applyNumberFormat="1" applyFill="1" applyBorder="1"/>
    <xf numFmtId="0" fontId="60" fillId="43" borderId="0" xfId="6" applyFont="1" applyFill="1" applyBorder="1" applyAlignment="1">
      <alignment horizontal="center" vertical="center"/>
    </xf>
    <xf numFmtId="0" fontId="13" fillId="3" borderId="19" xfId="0" applyFont="1" applyFill="1" applyBorder="1" applyAlignment="1">
      <alignment horizontal="right"/>
    </xf>
    <xf numFmtId="0" fontId="13" fillId="11" borderId="11" xfId="0" applyFont="1" applyFill="1" applyBorder="1" applyAlignment="1">
      <alignment wrapText="1"/>
    </xf>
    <xf numFmtId="0" fontId="13" fillId="12" borderId="26"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8" xfId="0" applyNumberFormat="1" applyBorder="1" applyAlignment="1">
      <alignment horizontal="right"/>
    </xf>
    <xf numFmtId="0" fontId="0" fillId="0" borderId="5" xfId="0" applyFill="1" applyBorder="1"/>
    <xf numFmtId="0" fontId="0" fillId="0" borderId="28" xfId="0" applyBorder="1" applyAlignment="1">
      <alignment horizontal="right"/>
    </xf>
    <xf numFmtId="0" fontId="0" fillId="0" borderId="5" xfId="0" applyBorder="1" applyAlignment="1">
      <alignment horizontal="left" vertical="center"/>
    </xf>
    <xf numFmtId="0" fontId="0" fillId="0" borderId="21" xfId="0" applyFill="1" applyBorder="1"/>
    <xf numFmtId="0" fontId="0" fillId="0" borderId="1" xfId="0" pivotButton="1" applyBorder="1" applyAlignment="1">
      <alignment horizontal="center"/>
    </xf>
    <xf numFmtId="165" fontId="0" fillId="0" borderId="41" xfId="0" applyNumberFormat="1" applyBorder="1"/>
    <xf numFmtId="3" fontId="0" fillId="0" borderId="26" xfId="0" applyNumberFormat="1" applyBorder="1" applyAlignment="1">
      <alignment horizontal="right" vertical="center"/>
    </xf>
    <xf numFmtId="0" fontId="21" fillId="0" borderId="19" xfId="0" applyFont="1" applyFill="1" applyBorder="1" applyAlignment="1">
      <alignment wrapText="1"/>
    </xf>
    <xf numFmtId="0" fontId="41" fillId="13" borderId="2" xfId="0" applyFont="1" applyFill="1" applyBorder="1" applyAlignment="1"/>
    <xf numFmtId="0" fontId="3" fillId="10" borderId="28" xfId="0" applyFont="1" applyFill="1" applyBorder="1"/>
    <xf numFmtId="165" fontId="0" fillId="0" borderId="20" xfId="0" applyNumberFormat="1" applyBorder="1"/>
    <xf numFmtId="0" fontId="0" fillId="0" borderId="28" xfId="0" applyNumberFormat="1" applyBorder="1"/>
    <xf numFmtId="0" fontId="0" fillId="43" borderId="17" xfId="0" applyFill="1" applyBorder="1" applyAlignment="1">
      <alignment horizontal="center" vertical="center"/>
    </xf>
    <xf numFmtId="0" fontId="0" fillId="0" borderId="5" xfId="0" pivotButton="1" applyBorder="1" applyAlignment="1">
      <alignment horizontal="left"/>
    </xf>
    <xf numFmtId="165" fontId="0" fillId="0" borderId="20" xfId="0" applyNumberFormat="1" applyBorder="1" applyAlignment="1">
      <alignment horizontal="center"/>
    </xf>
    <xf numFmtId="0" fontId="0" fillId="0" borderId="28" xfId="0" applyBorder="1" applyAlignment="1">
      <alignment horizontal="center"/>
    </xf>
    <xf numFmtId="165" fontId="0" fillId="0" borderId="0" xfId="0" applyNumberFormat="1" applyBorder="1" applyAlignment="1">
      <alignment horizontal="right" vertical="center"/>
    </xf>
    <xf numFmtId="3" fontId="0" fillId="0" borderId="21" xfId="0" applyNumberFormat="1" applyBorder="1" applyAlignment="1">
      <alignment horizontal="right" vertical="center"/>
    </xf>
    <xf numFmtId="3" fontId="0" fillId="0" borderId="4" xfId="0" applyNumberFormat="1" applyBorder="1" applyAlignment="1">
      <alignment horizontal="right" vertical="center"/>
    </xf>
    <xf numFmtId="0" fontId="0" fillId="0" borderId="5" xfId="0" pivotButton="1" applyBorder="1" applyAlignment="1"/>
    <xf numFmtId="0" fontId="0" fillId="0" borderId="1" xfId="0" pivotButton="1" applyBorder="1" applyAlignment="1">
      <alignment horizontal="left"/>
    </xf>
    <xf numFmtId="0" fontId="0" fillId="0" borderId="21" xfId="0" applyBorder="1" applyAlignment="1">
      <alignment horizontal="right" vertical="center"/>
    </xf>
    <xf numFmtId="165" fontId="0" fillId="43" borderId="10" xfId="0" applyNumberFormat="1" applyFill="1" applyBorder="1"/>
    <xf numFmtId="0" fontId="0" fillId="43" borderId="3" xfId="0" applyNumberFormat="1" applyFill="1" applyBorder="1"/>
    <xf numFmtId="0" fontId="0" fillId="0" borderId="10" xfId="0" applyBorder="1"/>
    <xf numFmtId="0" fontId="0" fillId="0" borderId="10" xfId="0" applyNumberFormat="1" applyBorder="1" applyAlignment="1">
      <alignment horizontal="right"/>
    </xf>
    <xf numFmtId="0" fontId="0" fillId="0" borderId="3" xfId="0" applyNumberFormat="1" applyBorder="1" applyAlignment="1">
      <alignment horizontal="right"/>
    </xf>
    <xf numFmtId="0" fontId="0" fillId="0" borderId="36" xfId="0" applyBorder="1" applyAlignment="1">
      <alignment horizontal="right"/>
    </xf>
    <xf numFmtId="0" fontId="0" fillId="0" borderId="0" xfId="0" applyNumberFormat="1" applyBorder="1" applyAlignment="1">
      <alignment horizontal="right"/>
    </xf>
    <xf numFmtId="0" fontId="0" fillId="0" borderId="41" xfId="0" applyNumberFormat="1" applyBorder="1" applyAlignment="1">
      <alignment horizontal="right"/>
    </xf>
    <xf numFmtId="0" fontId="0" fillId="0" borderId="19" xfId="0" applyNumberFormat="1" applyBorder="1" applyAlignment="1">
      <alignment horizontal="right"/>
    </xf>
    <xf numFmtId="49" fontId="0" fillId="0" borderId="1" xfId="8" applyNumberFormat="1" applyFont="1" applyFill="1" applyBorder="1"/>
    <xf numFmtId="49" fontId="4" fillId="38" borderId="1" xfId="0" applyNumberFormat="1" applyFont="1" applyFill="1" applyBorder="1"/>
    <xf numFmtId="49" fontId="71" fillId="0" borderId="2" xfId="0" applyNumberFormat="1" applyFont="1" applyBorder="1"/>
    <xf numFmtId="49" fontId="68" fillId="0" borderId="2" xfId="0" applyNumberFormat="1" applyFont="1" applyBorder="1"/>
    <xf numFmtId="0" fontId="0" fillId="0" borderId="11" xfId="0" applyBorder="1" applyAlignment="1">
      <alignment horizontal="left"/>
    </xf>
    <xf numFmtId="1" fontId="11" fillId="43" borderId="20" xfId="6" applyNumberFormat="1" applyFont="1" applyFill="1" applyBorder="1" applyAlignment="1">
      <alignment vertical="center"/>
    </xf>
    <xf numFmtId="1" fontId="0" fillId="43" borderId="0" xfId="0" applyNumberFormat="1" applyFill="1" applyBorder="1"/>
    <xf numFmtId="1" fontId="10" fillId="43" borderId="41"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0" borderId="13" xfId="0" applyBorder="1" applyAlignment="1">
      <alignment horizontal="left"/>
    </xf>
    <xf numFmtId="0" fontId="0" fillId="0" borderId="11" xfId="0" applyBorder="1" applyAlignment="1">
      <alignment horizontal="left"/>
    </xf>
    <xf numFmtId="166" fontId="48" fillId="11" borderId="0" xfId="6" applyNumberFormat="1" applyFont="1" applyFill="1" applyBorder="1" applyAlignment="1">
      <alignment horizontal="left" vertical="center"/>
    </xf>
    <xf numFmtId="0" fontId="0" fillId="0" borderId="36" xfId="0" applyNumberFormat="1" applyBorder="1" applyAlignment="1">
      <alignment horizontal="right"/>
    </xf>
    <xf numFmtId="0" fontId="0" fillId="28" borderId="1" xfId="0" applyNumberFormat="1" applyFill="1" applyBorder="1" applyAlignment="1">
      <alignment horizontal="left"/>
    </xf>
    <xf numFmtId="49" fontId="0" fillId="0" borderId="5" xfId="8" applyNumberFormat="1" applyFont="1" applyFill="1" applyBorder="1"/>
    <xf numFmtId="0" fontId="0" fillId="0" borderId="21" xfId="0" applyNumberFormat="1" applyFont="1" applyFill="1" applyBorder="1" applyAlignment="1"/>
    <xf numFmtId="0" fontId="0" fillId="0" borderId="20" xfId="0" applyNumberFormat="1" applyFont="1" applyFill="1" applyBorder="1" applyAlignment="1"/>
    <xf numFmtId="0" fontId="0" fillId="0" borderId="28" xfId="0" applyNumberFormat="1" applyFont="1" applyFill="1" applyBorder="1" applyAlignment="1"/>
    <xf numFmtId="0" fontId="0" fillId="0" borderId="4" xfId="0" applyNumberFormat="1" applyFont="1" applyFill="1" applyBorder="1" applyAlignment="1"/>
    <xf numFmtId="0" fontId="0" fillId="0" borderId="0" xfId="0" applyNumberFormat="1" applyFont="1" applyFill="1" applyBorder="1" applyAlignment="1"/>
    <xf numFmtId="0" fontId="0" fillId="0" borderId="36" xfId="0" applyNumberFormat="1" applyFont="1" applyFill="1" applyBorder="1" applyAlignment="1"/>
    <xf numFmtId="0" fontId="0" fillId="0" borderId="26" xfId="0" applyNumberFormat="1" applyFont="1" applyFill="1" applyBorder="1" applyAlignment="1"/>
    <xf numFmtId="0" fontId="0" fillId="0" borderId="41" xfId="0" applyNumberFormat="1" applyFont="1" applyFill="1" applyBorder="1" applyAlignment="1"/>
    <xf numFmtId="0" fontId="0" fillId="0" borderId="19" xfId="0" applyNumberFormat="1" applyFont="1" applyFill="1" applyBorder="1" applyAlignment="1"/>
    <xf numFmtId="0" fontId="0" fillId="10" borderId="1" xfId="0" applyNumberFormat="1" applyFont="1" applyFill="1" applyBorder="1" applyAlignment="1"/>
    <xf numFmtId="165" fontId="2" fillId="0" borderId="17" xfId="7" applyNumberFormat="1" applyFont="1" applyFill="1" applyBorder="1"/>
    <xf numFmtId="0" fontId="0" fillId="0" borderId="20" xfId="0" applyNumberFormat="1" applyBorder="1"/>
    <xf numFmtId="3" fontId="0" fillId="0" borderId="20" xfId="0" applyNumberFormat="1" applyBorder="1" applyAlignment="1">
      <alignment horizontal="right" vertical="center"/>
    </xf>
    <xf numFmtId="9" fontId="0" fillId="0" borderId="28" xfId="0" applyNumberFormat="1" applyBorder="1"/>
    <xf numFmtId="9" fontId="0" fillId="0" borderId="36" xfId="0" applyNumberFormat="1" applyBorder="1"/>
    <xf numFmtId="9" fontId="0" fillId="0" borderId="19" xfId="0" applyNumberFormat="1" applyBorder="1"/>
    <xf numFmtId="0" fontId="0" fillId="0" borderId="3" xfId="0" applyBorder="1" applyAlignment="1">
      <alignment horizontal="center"/>
    </xf>
    <xf numFmtId="0" fontId="0" fillId="0" borderId="10" xfId="0" applyBorder="1" applyAlignment="1">
      <alignment horizontal="center"/>
    </xf>
    <xf numFmtId="0" fontId="0" fillId="0" borderId="10" xfId="0" applyBorder="1" applyAlignment="1">
      <alignment horizontal="right" vertical="center"/>
    </xf>
    <xf numFmtId="0" fontId="0" fillId="0" borderId="28" xfId="0" applyBorder="1" applyAlignment="1">
      <alignment horizontal="center" vertical="center" wrapText="1"/>
    </xf>
    <xf numFmtId="0" fontId="0" fillId="0" borderId="36" xfId="0" applyBorder="1" applyAlignment="1">
      <alignment horizontal="center" vertical="center" wrapText="1"/>
    </xf>
    <xf numFmtId="0" fontId="0" fillId="0" borderId="3" xfId="0" applyBorder="1" applyAlignment="1">
      <alignment horizontal="center" vertical="center" wrapText="1"/>
    </xf>
    <xf numFmtId="15" fontId="0" fillId="0" borderId="1" xfId="0" applyNumberFormat="1" applyBorder="1"/>
    <xf numFmtId="0" fontId="0" fillId="0" borderId="1" xfId="0" applyBorder="1" applyAlignment="1">
      <alignment horizontal="left"/>
    </xf>
    <xf numFmtId="0" fontId="45" fillId="11" borderId="1" xfId="0" applyFont="1" applyFill="1" applyBorder="1" applyAlignment="1">
      <alignment horizontal="center" vertical="center" wrapText="1"/>
    </xf>
    <xf numFmtId="0" fontId="32" fillId="0" borderId="55" xfId="0" applyFont="1" applyFill="1" applyBorder="1" applyAlignment="1">
      <alignment horizontal="left"/>
    </xf>
    <xf numFmtId="0" fontId="0" fillId="0" borderId="19" xfId="0" pivotButton="1" applyBorder="1" applyAlignment="1">
      <alignment horizontal="center"/>
    </xf>
    <xf numFmtId="0" fontId="0" fillId="0" borderId="11" xfId="0" pivotButton="1" applyBorder="1" applyAlignment="1">
      <alignment horizontal="left"/>
    </xf>
    <xf numFmtId="0" fontId="0" fillId="0" borderId="0" xfId="0" pivotButton="1" applyBorder="1" applyAlignment="1">
      <alignment horizontal="left"/>
    </xf>
    <xf numFmtId="0" fontId="0" fillId="0" borderId="4" xfId="0" applyBorder="1" applyAlignment="1">
      <alignment horizontal="center" vertical="center" wrapText="1"/>
    </xf>
    <xf numFmtId="0" fontId="0" fillId="0" borderId="2" xfId="0" applyBorder="1" applyAlignment="1">
      <alignment horizontal="center"/>
    </xf>
    <xf numFmtId="14" fontId="0" fillId="10" borderId="0" xfId="0" applyNumberFormat="1" applyFill="1"/>
    <xf numFmtId="0" fontId="0" fillId="0" borderId="1" xfId="0" applyBorder="1" applyAlignment="1">
      <alignment horizontal="left"/>
    </xf>
    <xf numFmtId="0" fontId="0" fillId="0" borderId="11" xfId="0" applyBorder="1" applyAlignment="1">
      <alignment horizontal="left"/>
    </xf>
    <xf numFmtId="0" fontId="0" fillId="0" borderId="1" xfId="0" applyBorder="1" applyAlignment="1">
      <alignment horizontal="left"/>
    </xf>
    <xf numFmtId="1" fontId="0" fillId="0" borderId="1" xfId="0" applyNumberFormat="1" applyFill="1" applyBorder="1"/>
    <xf numFmtId="0" fontId="0" fillId="0" borderId="11" xfId="0" applyBorder="1" applyAlignment="1">
      <alignment horizontal="center" vertical="center" wrapText="1"/>
    </xf>
    <xf numFmtId="0" fontId="0" fillId="0" borderId="5" xfId="0" applyBorder="1" applyAlignment="1">
      <alignment horizontal="center"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0" fillId="0" borderId="0" xfId="0" applyBorder="1" applyAlignment="1">
      <alignment horizontal="center" vertical="center" wrapText="1"/>
    </xf>
    <xf numFmtId="0" fontId="0" fillId="0" borderId="19" xfId="0" applyBorder="1" applyAlignment="1">
      <alignment horizontal="center" vertical="center" wrapText="1"/>
    </xf>
    <xf numFmtId="166" fontId="52" fillId="11" borderId="0" xfId="6" applyNumberFormat="1" applyFont="1" applyFill="1" applyBorder="1" applyAlignment="1">
      <alignment horizontal="left" vertical="center"/>
    </xf>
    <xf numFmtId="0" fontId="17" fillId="45" borderId="35" xfId="0" applyFont="1" applyFill="1" applyBorder="1" applyAlignment="1">
      <alignment horizontal="left" vertical="center"/>
    </xf>
    <xf numFmtId="0" fontId="17" fillId="45" borderId="51" xfId="0" applyFont="1" applyFill="1" applyBorder="1" applyAlignment="1">
      <alignment horizontal="left" vertical="center"/>
    </xf>
    <xf numFmtId="0" fontId="0" fillId="0" borderId="35" xfId="0" applyBorder="1" applyAlignment="1">
      <alignment horizontal="left" vertical="center" wrapText="1"/>
    </xf>
    <xf numFmtId="0" fontId="0" fillId="0" borderId="51" xfId="0" applyBorder="1" applyAlignment="1">
      <alignment horizontal="left" vertical="center" wrapText="1"/>
    </xf>
    <xf numFmtId="166" fontId="74" fillId="43" borderId="26" xfId="6" applyNumberFormat="1" applyFont="1" applyFill="1" applyBorder="1" applyAlignment="1">
      <alignment horizontal="left" vertical="center"/>
    </xf>
    <xf numFmtId="166" fontId="74" fillId="43" borderId="41" xfId="6" applyNumberFormat="1" applyFont="1" applyFill="1" applyBorder="1" applyAlignment="1">
      <alignment horizontal="left" vertical="center"/>
    </xf>
    <xf numFmtId="168" fontId="19" fillId="10" borderId="20" xfId="0" applyNumberFormat="1" applyFont="1" applyFill="1" applyBorder="1" applyAlignment="1">
      <alignment horizontal="left"/>
    </xf>
    <xf numFmtId="0" fontId="46" fillId="11" borderId="4" xfId="6" applyFont="1" applyFill="1" applyBorder="1" applyAlignment="1">
      <alignment horizontal="left" vertical="center"/>
    </xf>
    <xf numFmtId="0" fontId="46" fillId="11" borderId="0" xfId="6" applyFont="1" applyFill="1" applyBorder="1" applyAlignment="1">
      <alignment horizontal="left" vertical="center"/>
    </xf>
    <xf numFmtId="166" fontId="48" fillId="11" borderId="26" xfId="6" applyNumberFormat="1" applyFont="1" applyFill="1" applyBorder="1" applyAlignment="1">
      <alignment horizontal="left" vertical="center"/>
    </xf>
    <xf numFmtId="166" fontId="48" fillId="11" borderId="41" xfId="6" applyNumberFormat="1" applyFont="1" applyFill="1" applyBorder="1" applyAlignment="1">
      <alignment horizontal="left" vertical="center"/>
    </xf>
    <xf numFmtId="0" fontId="0" fillId="43" borderId="2" xfId="0" applyFill="1" applyBorder="1" applyAlignment="1">
      <alignment horizontal="center" vertical="center" wrapText="1"/>
    </xf>
    <xf numFmtId="0" fontId="0" fillId="43" borderId="10" xfId="0" applyFill="1" applyBorder="1" applyAlignment="1">
      <alignment horizontal="center"/>
    </xf>
    <xf numFmtId="0" fontId="0" fillId="43" borderId="3" xfId="0" applyFill="1" applyBorder="1" applyAlignment="1">
      <alignment horizontal="center"/>
    </xf>
    <xf numFmtId="165" fontId="0" fillId="0" borderId="0" xfId="0" applyNumberFormat="1" applyBorder="1" applyAlignment="1">
      <alignment horizontal="center" vertical="center" wrapText="1"/>
    </xf>
    <xf numFmtId="165" fontId="0" fillId="0" borderId="0" xfId="0" applyNumberFormat="1" applyBorder="1" applyAlignment="1">
      <alignment horizontal="left"/>
    </xf>
    <xf numFmtId="0" fontId="0" fillId="0" borderId="11" xfId="0" applyBorder="1" applyAlignment="1">
      <alignment horizontal="center" vertical="center" wrapText="1"/>
    </xf>
    <xf numFmtId="0" fontId="0" fillId="0" borderId="1" xfId="0" applyBorder="1" applyAlignment="1">
      <alignment horizontal="left"/>
    </xf>
    <xf numFmtId="0" fontId="0" fillId="0" borderId="5" xfId="0" applyBorder="1" applyAlignment="1">
      <alignment horizontal="center" vertical="center" wrapText="1"/>
    </xf>
    <xf numFmtId="0" fontId="0" fillId="0" borderId="13" xfId="0" applyBorder="1" applyAlignment="1">
      <alignment horizontal="center"/>
    </xf>
    <xf numFmtId="0" fontId="0" fillId="0" borderId="11"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xf>
    <xf numFmtId="0" fontId="0" fillId="0" borderId="13" xfId="0" applyBorder="1" applyAlignment="1">
      <alignment horizontal="center" vertical="center" wrapText="1"/>
    </xf>
    <xf numFmtId="0" fontId="0" fillId="0" borderId="13" xfId="0" applyBorder="1" applyAlignment="1">
      <alignment horizontal="left"/>
    </xf>
    <xf numFmtId="0" fontId="0" fillId="0" borderId="11" xfId="0" applyBorder="1" applyAlignment="1">
      <alignment horizontal="left"/>
    </xf>
    <xf numFmtId="0" fontId="0" fillId="0" borderId="0" xfId="0" applyBorder="1" applyAlignment="1">
      <alignment horizontal="center" vertical="center" wrapText="1"/>
    </xf>
    <xf numFmtId="0" fontId="0" fillId="0" borderId="0" xfId="0" applyBorder="1" applyAlignment="1">
      <alignment horizontal="center"/>
    </xf>
    <xf numFmtId="0" fontId="0" fillId="0" borderId="5" xfId="0" applyBorder="1" applyAlignment="1">
      <alignment horizontal="center"/>
    </xf>
    <xf numFmtId="0" fontId="0" fillId="0" borderId="0" xfId="0" applyBorder="1" applyAlignment="1">
      <alignment horizontal="left"/>
    </xf>
    <xf numFmtId="0" fontId="0" fillId="43" borderId="10" xfId="0" applyFill="1" applyBorder="1" applyAlignment="1">
      <alignment horizontal="left"/>
    </xf>
    <xf numFmtId="0" fontId="0" fillId="43" borderId="3" xfId="0" applyFill="1" applyBorder="1" applyAlignment="1">
      <alignment horizontal="left"/>
    </xf>
    <xf numFmtId="0" fontId="0" fillId="43" borderId="30" xfId="0" applyFill="1" applyBorder="1" applyAlignment="1">
      <alignment horizontal="center" vertical="center" wrapText="1"/>
    </xf>
    <xf numFmtId="0" fontId="0" fillId="43" borderId="31" xfId="0" applyFill="1" applyBorder="1" applyAlignment="1">
      <alignment horizontal="left"/>
    </xf>
    <xf numFmtId="0" fontId="0" fillId="43" borderId="32" xfId="0" applyFill="1" applyBorder="1" applyAlignment="1">
      <alignment horizontal="left"/>
    </xf>
    <xf numFmtId="166" fontId="48" fillId="11" borderId="52" xfId="6" applyNumberFormat="1" applyFont="1" applyFill="1" applyBorder="1" applyAlignment="1">
      <alignment horizontal="left" vertical="center"/>
    </xf>
    <xf numFmtId="0" fontId="46" fillId="5" borderId="0" xfId="6" applyFont="1" applyFill="1" applyBorder="1" applyAlignment="1">
      <alignment horizontal="left" vertical="center"/>
    </xf>
    <xf numFmtId="166" fontId="48" fillId="5" borderId="0" xfId="6" applyNumberFormat="1" applyFont="1" applyFill="1" applyBorder="1" applyAlignment="1">
      <alignment horizontal="left" vertical="center"/>
    </xf>
    <xf numFmtId="0" fontId="11" fillId="5" borderId="0" xfId="6" applyFont="1" applyFill="1" applyBorder="1" applyAlignment="1">
      <alignment horizontal="left" vertical="center"/>
    </xf>
    <xf numFmtId="0" fontId="18" fillId="44" borderId="0" xfId="0" applyFont="1" applyFill="1" applyBorder="1" applyAlignment="1">
      <alignment horizontal="left"/>
    </xf>
    <xf numFmtId="0" fontId="0" fillId="0" borderId="19" xfId="0" applyBorder="1" applyAlignment="1">
      <alignment horizontal="center" vertical="center" wrapText="1"/>
    </xf>
    <xf numFmtId="0" fontId="0" fillId="0" borderId="3" xfId="0" applyBorder="1" applyAlignment="1">
      <alignment horizontal="left"/>
    </xf>
    <xf numFmtId="0" fontId="0" fillId="43" borderId="41" xfId="0" applyFill="1" applyBorder="1" applyAlignment="1">
      <alignment horizontal="center" vertical="center" wrapText="1"/>
    </xf>
    <xf numFmtId="0" fontId="0" fillId="43" borderId="41" xfId="0" applyFill="1" applyBorder="1" applyAlignment="1">
      <alignment horizontal="left"/>
    </xf>
    <xf numFmtId="0" fontId="0" fillId="43" borderId="19" xfId="0" applyFill="1" applyBorder="1" applyAlignment="1">
      <alignment horizontal="left"/>
    </xf>
    <xf numFmtId="0" fontId="0" fillId="43" borderId="26" xfId="0" applyFill="1" applyBorder="1" applyAlignment="1">
      <alignment horizontal="center" vertical="center" wrapText="1"/>
    </xf>
    <xf numFmtId="0" fontId="0" fillId="43" borderId="41" xfId="0" applyFill="1" applyBorder="1" applyAlignment="1">
      <alignment horizontal="center"/>
    </xf>
    <xf numFmtId="0" fontId="0" fillId="43" borderId="19" xfId="0" applyFill="1" applyBorder="1" applyAlignment="1">
      <alignment horizontal="center"/>
    </xf>
    <xf numFmtId="0" fontId="0" fillId="0" borderId="41" xfId="0" applyBorder="1" applyAlignment="1">
      <alignment horizontal="center" vertical="center" wrapText="1"/>
    </xf>
    <xf numFmtId="0" fontId="0" fillId="0" borderId="41" xfId="0" applyBorder="1" applyAlignment="1">
      <alignment horizontal="left"/>
    </xf>
    <xf numFmtId="0" fontId="0" fillId="0" borderId="19" xfId="0" applyBorder="1" applyAlignment="1">
      <alignment horizontal="left"/>
    </xf>
    <xf numFmtId="166" fontId="48" fillId="11" borderId="4" xfId="6" applyNumberFormat="1" applyFont="1" applyFill="1" applyBorder="1" applyAlignment="1">
      <alignment horizontal="left" vertical="center"/>
    </xf>
    <xf numFmtId="166" fontId="48" fillId="11" borderId="0" xfId="6" applyNumberFormat="1" applyFont="1" applyFill="1" applyBorder="1" applyAlignment="1">
      <alignment horizontal="left" vertical="center"/>
    </xf>
    <xf numFmtId="0" fontId="46" fillId="11" borderId="26" xfId="6" applyFont="1" applyFill="1" applyBorder="1" applyAlignment="1">
      <alignment horizontal="left" vertical="center"/>
    </xf>
    <xf numFmtId="0" fontId="46" fillId="11" borderId="41" xfId="6" applyFont="1" applyFill="1" applyBorder="1" applyAlignment="1">
      <alignment horizontal="left" vertical="center"/>
    </xf>
    <xf numFmtId="166" fontId="48" fillId="11" borderId="2" xfId="6" applyNumberFormat="1" applyFont="1" applyFill="1" applyBorder="1" applyAlignment="1">
      <alignment horizontal="left" vertical="center"/>
    </xf>
    <xf numFmtId="166" fontId="48" fillId="11" borderId="10" xfId="6" applyNumberFormat="1" applyFont="1" applyFill="1" applyBorder="1" applyAlignment="1">
      <alignment horizontal="left" vertical="center"/>
    </xf>
    <xf numFmtId="166" fontId="48" fillId="11" borderId="3" xfId="6" applyNumberFormat="1" applyFont="1" applyFill="1" applyBorder="1" applyAlignment="1">
      <alignment horizontal="left" vertical="center"/>
    </xf>
    <xf numFmtId="166" fontId="48" fillId="11" borderId="19" xfId="6" applyNumberFormat="1" applyFont="1" applyFill="1" applyBorder="1" applyAlignment="1">
      <alignment horizontal="left" vertical="center"/>
    </xf>
    <xf numFmtId="0" fontId="43" fillId="30" borderId="1" xfId="0" applyFont="1" applyFill="1" applyBorder="1" applyAlignment="1">
      <alignment horizontal="center"/>
    </xf>
    <xf numFmtId="0" fontId="38" fillId="43" borderId="26" xfId="6" applyFont="1" applyFill="1" applyBorder="1" applyAlignment="1">
      <alignment horizontal="left" vertical="center"/>
    </xf>
    <xf numFmtId="0" fontId="38" fillId="43" borderId="41" xfId="6" applyFont="1" applyFill="1" applyBorder="1" applyAlignment="1">
      <alignment horizontal="left" vertical="center"/>
    </xf>
    <xf numFmtId="0" fontId="0" fillId="31" borderId="30" xfId="0" applyFill="1" applyBorder="1" applyAlignment="1">
      <alignment horizontal="center" wrapText="1"/>
    </xf>
    <xf numFmtId="0" fontId="0" fillId="31" borderId="31" xfId="0" applyFill="1" applyBorder="1" applyAlignment="1">
      <alignment horizontal="center" wrapText="1"/>
    </xf>
    <xf numFmtId="0" fontId="0" fillId="31" borderId="32" xfId="0" applyFill="1" applyBorder="1" applyAlignment="1">
      <alignment horizontal="center" wrapText="1"/>
    </xf>
    <xf numFmtId="0" fontId="0" fillId="47" borderId="30" xfId="0" applyFill="1" applyBorder="1" applyAlignment="1">
      <alignment horizontal="center" wrapText="1"/>
    </xf>
    <xf numFmtId="0" fontId="0" fillId="47" borderId="31" xfId="0" applyFill="1" applyBorder="1" applyAlignment="1">
      <alignment horizontal="center" wrapText="1"/>
    </xf>
    <xf numFmtId="0" fontId="0" fillId="47" borderId="32" xfId="0" applyFill="1" applyBorder="1" applyAlignment="1">
      <alignment horizontal="center" wrapText="1"/>
    </xf>
    <xf numFmtId="0" fontId="0" fillId="3" borderId="35" xfId="0" applyFill="1" applyBorder="1" applyAlignment="1">
      <alignment horizontal="center" textRotation="90"/>
    </xf>
    <xf numFmtId="0" fontId="0" fillId="3" borderId="51" xfId="0" applyFill="1" applyBorder="1" applyAlignment="1">
      <alignment horizontal="center" textRotation="90"/>
    </xf>
    <xf numFmtId="0" fontId="0" fillId="9" borderId="30" xfId="0" applyFill="1" applyBorder="1" applyAlignment="1">
      <alignment horizontal="center"/>
    </xf>
    <xf numFmtId="0" fontId="0" fillId="9" borderId="31" xfId="0" applyFill="1" applyBorder="1" applyAlignment="1">
      <alignment horizontal="center"/>
    </xf>
    <xf numFmtId="0" fontId="0" fillId="9" borderId="32"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8" borderId="32" xfId="0" applyFill="1" applyBorder="1" applyAlignment="1">
      <alignment horizontal="center"/>
    </xf>
    <xf numFmtId="0" fontId="0" fillId="4" borderId="14" xfId="0" applyFill="1" applyBorder="1" applyAlignment="1">
      <alignment horizontal="center" textRotation="90" wrapText="1"/>
    </xf>
    <xf numFmtId="0" fontId="0" fillId="4" borderId="15" xfId="0" applyFill="1" applyBorder="1" applyAlignment="1">
      <alignment horizontal="center" textRotation="90" wrapText="1"/>
    </xf>
    <xf numFmtId="0" fontId="0" fillId="4" borderId="16" xfId="0" applyFill="1" applyBorder="1" applyAlignment="1">
      <alignment horizontal="center" textRotation="90" wrapText="1"/>
    </xf>
    <xf numFmtId="0" fontId="0" fillId="5" borderId="14" xfId="0" applyFill="1" applyBorder="1" applyAlignment="1">
      <alignment horizontal="center" textRotation="90" wrapText="1"/>
    </xf>
    <xf numFmtId="0" fontId="0" fillId="5" borderId="15" xfId="0" applyFill="1" applyBorder="1" applyAlignment="1">
      <alignment horizontal="center" textRotation="90" wrapText="1"/>
    </xf>
    <xf numFmtId="0" fontId="0" fillId="5" borderId="16" xfId="0" applyFill="1" applyBorder="1" applyAlignment="1">
      <alignment horizontal="center" textRotation="90" wrapText="1"/>
    </xf>
    <xf numFmtId="0" fontId="0" fillId="6" borderId="14" xfId="0" applyFill="1" applyBorder="1" applyAlignment="1">
      <alignment horizontal="center" textRotation="90" wrapText="1"/>
    </xf>
    <xf numFmtId="0" fontId="0" fillId="6" borderId="15" xfId="0" applyFill="1" applyBorder="1" applyAlignment="1">
      <alignment horizontal="center" textRotation="90" wrapText="1"/>
    </xf>
    <xf numFmtId="0" fontId="0" fillId="6" borderId="16" xfId="0" applyFill="1" applyBorder="1" applyAlignment="1">
      <alignment horizontal="center" textRotation="90"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3" borderId="32" xfId="0" applyFill="1" applyBorder="1" applyAlignment="1">
      <alignment horizontal="center" wrapText="1"/>
    </xf>
    <xf numFmtId="0" fontId="0" fillId="5" borderId="31"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2" borderId="32" xfId="0" applyFill="1" applyBorder="1" applyAlignment="1">
      <alignment horizontal="center" wrapText="1"/>
    </xf>
    <xf numFmtId="0" fontId="45" fillId="11" borderId="1"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45" fillId="11" borderId="2" xfId="0" applyFont="1" applyFill="1" applyBorder="1" applyAlignment="1">
      <alignment horizontal="center" vertical="center" wrapText="1"/>
    </xf>
    <xf numFmtId="0" fontId="45" fillId="11" borderId="10" xfId="0" applyFont="1" applyFill="1" applyBorder="1" applyAlignment="1">
      <alignment horizontal="center" vertical="center" wrapText="1"/>
    </xf>
    <xf numFmtId="0" fontId="45" fillId="11" borderId="3" xfId="0" applyFont="1" applyFill="1" applyBorder="1" applyAlignment="1">
      <alignment horizontal="center" vertical="center" wrapText="1"/>
    </xf>
    <xf numFmtId="0" fontId="46" fillId="43" borderId="0" xfId="6" applyFont="1" applyFill="1" applyBorder="1" applyAlignment="1">
      <alignment horizontal="left" vertical="center"/>
    </xf>
    <xf numFmtId="166" fontId="48" fillId="43" borderId="41" xfId="6" applyNumberFormat="1" applyFont="1" applyFill="1" applyBorder="1" applyAlignment="1">
      <alignment horizontal="left" vertical="center"/>
    </xf>
  </cellXfs>
  <cellStyles count="20">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899">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thin">
          <color indexed="64"/>
        </left>
        <top style="thin">
          <color indexed="64"/>
        </top>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border>
    </dxf>
    <dxf>
      <border>
        <left/>
        <right/>
        <top/>
        <bottom/>
        <vertical/>
      </border>
    </dxf>
    <dxf>
      <border>
        <left/>
        <right/>
        <top/>
        <bottom/>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border>
        <left style="thin">
          <color indexed="64"/>
        </left>
        <top style="thin">
          <color indexed="64"/>
        </top>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border>
    </dxf>
    <dxf>
      <border>
        <left/>
        <right/>
        <top/>
        <bottom/>
        <vertical/>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170" formatCode="[$-409]d\-mmm\-yyyy;@"/>
    </dxf>
    <dxf>
      <font>
        <b val="0"/>
        <i val="0"/>
        <strike val="0"/>
        <condense val="0"/>
        <extend val="0"/>
        <outline val="0"/>
        <shadow val="0"/>
        <u val="none"/>
        <vertAlign val="baseline"/>
        <sz val="10"/>
        <color auto="1"/>
        <name val="Calibri"/>
        <scheme val="minor"/>
      </font>
      <border diagonalUp="0" diagonalDown="0">
        <left/>
        <right style="thin">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minor"/>
      </font>
      <numFmt numFmtId="0" formatCode="Genera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rder>
    </dxf>
    <dxf>
      <font>
        <strike val="0"/>
        <outline val="0"/>
        <shadow val="0"/>
        <u val="none"/>
        <vertAlign val="baseline"/>
        <sz val="10"/>
        <name val="Calibri"/>
        <scheme val="minor"/>
      </font>
    </dxf>
    <dxf>
      <font>
        <strike val="0"/>
        <outline val="0"/>
        <shadow val="0"/>
        <u val="none"/>
        <vertAlign val="baseline"/>
        <sz val="10"/>
        <name val="Calibri"/>
        <scheme val="minor"/>
      </font>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00"/>
        </patternFill>
      </fill>
    </dxf>
    <dxf>
      <font>
        <strike val="0"/>
        <outline val="0"/>
        <shadow val="0"/>
        <u val="none"/>
        <vertAlign val="baseline"/>
        <sz val="10"/>
        <name val="Calibri"/>
        <scheme val="minor"/>
      </font>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5" formatCode="_-* #,##0_-;\-* #,##0_-;_-* &quot;-&quot;??_-;_-@_-"/>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outline="0">
        <left/>
        <right style="thin">
          <color indexed="64"/>
        </right>
        <top style="thin">
          <color indexed="64"/>
        </top>
        <bottom style="thin">
          <color indexed="64"/>
        </bottom>
      </border>
    </dxf>
    <dxf>
      <border outline="0">
        <left style="thin">
          <color indexed="64"/>
        </left>
      </border>
    </dxf>
    <dxf>
      <font>
        <strike val="0"/>
        <outline val="0"/>
        <shadow val="0"/>
        <u val="none"/>
        <vertAlign val="baseline"/>
        <sz val="10"/>
        <name val="Calibri"/>
        <scheme val="minor"/>
      </font>
    </dxf>
    <dxf>
      <font>
        <strike val="0"/>
        <outline val="0"/>
        <shadow val="0"/>
        <u val="none"/>
        <vertAlign val="baseline"/>
        <sz val="10"/>
        <name val="Calibri"/>
        <scheme val="minor"/>
      </font>
    </dxf>
    <dxf>
      <border>
        <horizontal style="thin">
          <color indexed="64"/>
        </horizontal>
      </border>
    </dxf>
    <dxf>
      <border>
        <horizontal style="thin">
          <color indexed="64"/>
        </horizontal>
      </border>
    </dxf>
    <dxf>
      <border>
        <right style="thin">
          <color indexed="64"/>
        </right>
        <vertical style="thin">
          <color indexed="64"/>
        </vertical>
      </border>
    </dxf>
    <dxf>
      <border>
        <right style="thin">
          <color indexed="64"/>
        </right>
        <vertical style="thin">
          <color indexed="64"/>
        </vertic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1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lef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898"/>
      <tableStyleElement type="firstColumnStripe" dxfId="897"/>
    </tableStyle>
  </tableStyles>
  <colors>
    <mruColors>
      <color rgb="FF99CCFF"/>
      <color rgb="FFDCE6F1"/>
      <color rgb="FFFFFF00"/>
      <color rgb="FF6699FF"/>
      <color rgb="FF0000FF"/>
      <color rgb="FFFFC800"/>
      <color rgb="FFFD2361"/>
      <color rgb="FFFF8000"/>
      <color rgb="FFFFEB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microsoft.com/office/2007/relationships/slicerCache" Target="slicerCaches/slicerCache1.xml"/><Relationship Id="rId42" Type="http://schemas.openxmlformats.org/officeDocument/2006/relationships/customXml" Target="../customXml/item4.xml"/><Relationship Id="rId47" Type="http://schemas.openxmlformats.org/officeDocument/2006/relationships/customXml" Target="../customXml/item9.xml"/><Relationship Id="rId50" Type="http://schemas.openxmlformats.org/officeDocument/2006/relationships/customXml" Target="../customXml/item12.xml"/><Relationship Id="rId55" Type="http://schemas.openxmlformats.org/officeDocument/2006/relationships/xmlMaps" Target="xmlMap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7.xml"/><Relationship Id="rId38" Type="http://schemas.openxmlformats.org/officeDocument/2006/relationships/calcChain" Target="calcChain.xml"/><Relationship Id="rId46" Type="http://schemas.openxmlformats.org/officeDocument/2006/relationships/customXml" Target="../customXml/item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3.xml"/><Relationship Id="rId41" Type="http://schemas.openxmlformats.org/officeDocument/2006/relationships/customXml" Target="../customXml/item3.xml"/><Relationship Id="rId54"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6.xml"/><Relationship Id="rId37" Type="http://schemas.openxmlformats.org/officeDocument/2006/relationships/sharedStrings" Target="sharedStrings.xml"/><Relationship Id="rId40" Type="http://schemas.openxmlformats.org/officeDocument/2006/relationships/customXml" Target="../customXml/item2.xml"/><Relationship Id="rId45" Type="http://schemas.openxmlformats.org/officeDocument/2006/relationships/customXml" Target="../customXml/item7.xml"/><Relationship Id="rId53"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openxmlformats.org/officeDocument/2006/relationships/styles" Target="styles.xml"/><Relationship Id="rId49" Type="http://schemas.openxmlformats.org/officeDocument/2006/relationships/customXml" Target="../customXml/item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4" Type="http://schemas.openxmlformats.org/officeDocument/2006/relationships/customXml" Target="../customXml/item6.xml"/><Relationship Id="rId52"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openxmlformats.org/officeDocument/2006/relationships/theme" Target="theme/theme1.xml"/><Relationship Id="rId43" Type="http://schemas.openxmlformats.org/officeDocument/2006/relationships/customXml" Target="../customXml/item5.xml"/><Relationship Id="rId48"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customXml" Target="../customXml/item13.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pivotFmt>
      <c:pivotFmt>
        <c:idx val="11"/>
        <c:spPr>
          <a:solidFill>
            <a:schemeClr val="tx2">
              <a:lumMod val="60000"/>
              <a:lumOff val="40000"/>
            </a:schemeClr>
          </a:solidFill>
        </c:spPr>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s>
    <c:plotArea>
      <c:layout/>
      <c:barChart>
        <c:barDir val="bar"/>
        <c:grouping val="stacked"/>
        <c:varyColors val="0"/>
        <c:ser>
          <c:idx val="0"/>
          <c:order val="0"/>
          <c:tx>
            <c:strRef>
              <c:f>'Age-Sex Breakdown per Camp'!$M$38:$M$39</c:f>
              <c:strCache>
                <c:ptCount val="1"/>
                <c:pt idx="0">
                  <c:v>F</c:v>
                </c:pt>
              </c:strCache>
            </c:strRef>
          </c:tx>
          <c:spPr>
            <a:solidFill>
              <a:srgbClr val="FD2361"/>
            </a:solidFill>
          </c:spPr>
          <c:invertIfNegative val="0"/>
          <c:cat>
            <c:strRef>
              <c:f>'Age-Sex Breakdown per Camp'!$L$40:$L$46</c:f>
              <c:strCache>
                <c:ptCount val="6"/>
                <c:pt idx="0">
                  <c:v>0 &lt; 5</c:v>
                </c:pt>
                <c:pt idx="1">
                  <c:v>12 to 17</c:v>
                </c:pt>
                <c:pt idx="2">
                  <c:v>6 to 11</c:v>
                </c:pt>
                <c:pt idx="3">
                  <c:v>18 to 25</c:v>
                </c:pt>
                <c:pt idx="4">
                  <c:v>26 to 59</c:v>
                </c:pt>
                <c:pt idx="5">
                  <c:v>60+</c:v>
                </c:pt>
              </c:strCache>
            </c:strRef>
          </c:cat>
          <c:val>
            <c:numRef>
              <c:f>'Age-Sex Breakdown per Camp'!$M$40:$M$46</c:f>
              <c:numCache>
                <c:formatCode>General</c:formatCode>
                <c:ptCount val="6"/>
                <c:pt idx="0">
                  <c:v>11375</c:v>
                </c:pt>
                <c:pt idx="1">
                  <c:v>6028</c:v>
                </c:pt>
                <c:pt idx="2">
                  <c:v>10618</c:v>
                </c:pt>
                <c:pt idx="3">
                  <c:v>13597</c:v>
                </c:pt>
                <c:pt idx="4">
                  <c:v>15241</c:v>
                </c:pt>
                <c:pt idx="5">
                  <c:v>2047</c:v>
                </c:pt>
              </c:numCache>
            </c:numRef>
          </c:val>
        </c:ser>
        <c:ser>
          <c:idx val="1"/>
          <c:order val="1"/>
          <c:tx>
            <c:strRef>
              <c:f>'Age-Sex Breakdown per Camp'!$N$38:$N$39</c:f>
              <c:strCache>
                <c:ptCount val="1"/>
                <c:pt idx="0">
                  <c:v>M</c:v>
                </c:pt>
              </c:strCache>
            </c:strRef>
          </c:tx>
          <c:spPr>
            <a:solidFill>
              <a:schemeClr val="tx2">
                <a:lumMod val="60000"/>
                <a:lumOff val="40000"/>
              </a:schemeClr>
            </a:solidFill>
          </c:spPr>
          <c:invertIfNegative val="0"/>
          <c:cat>
            <c:strRef>
              <c:f>'Age-Sex Breakdown per Camp'!$L$40:$L$46</c:f>
              <c:strCache>
                <c:ptCount val="6"/>
                <c:pt idx="0">
                  <c:v>0 &lt; 5</c:v>
                </c:pt>
                <c:pt idx="1">
                  <c:v>12 to 17</c:v>
                </c:pt>
                <c:pt idx="2">
                  <c:v>6 to 11</c:v>
                </c:pt>
                <c:pt idx="3">
                  <c:v>18 to 25</c:v>
                </c:pt>
                <c:pt idx="4">
                  <c:v>26 to 59</c:v>
                </c:pt>
                <c:pt idx="5">
                  <c:v>60+</c:v>
                </c:pt>
              </c:strCache>
            </c:strRef>
          </c:cat>
          <c:val>
            <c:numRef>
              <c:f>'Age-Sex Breakdown per Camp'!$N$40:$N$46</c:f>
              <c:numCache>
                <c:formatCode>General</c:formatCode>
                <c:ptCount val="6"/>
                <c:pt idx="0">
                  <c:v>-11133</c:v>
                </c:pt>
                <c:pt idx="1">
                  <c:v>-8482</c:v>
                </c:pt>
                <c:pt idx="2">
                  <c:v>-11310</c:v>
                </c:pt>
                <c:pt idx="3">
                  <c:v>-8827</c:v>
                </c:pt>
                <c:pt idx="4">
                  <c:v>-14289</c:v>
                </c:pt>
                <c:pt idx="5">
                  <c:v>-2005</c:v>
                </c:pt>
              </c:numCache>
            </c:numRef>
          </c:val>
        </c:ser>
        <c:dLbls>
          <c:showLegendKey val="0"/>
          <c:showVal val="0"/>
          <c:showCatName val="0"/>
          <c:showSerName val="0"/>
          <c:showPercent val="0"/>
          <c:showBubbleSize val="0"/>
        </c:dLbls>
        <c:gapWidth val="150"/>
        <c:overlap val="100"/>
        <c:axId val="221192472"/>
        <c:axId val="351404760"/>
      </c:barChart>
      <c:catAx>
        <c:axId val="221192472"/>
        <c:scaling>
          <c:orientation val="minMax"/>
        </c:scaling>
        <c:delete val="0"/>
        <c:axPos val="l"/>
        <c:numFmt formatCode="General" sourceLinked="0"/>
        <c:majorTickMark val="out"/>
        <c:minorTickMark val="none"/>
        <c:tickLblPos val="nextTo"/>
        <c:crossAx val="351404760"/>
        <c:crosses val="autoZero"/>
        <c:auto val="1"/>
        <c:lblAlgn val="ctr"/>
        <c:lblOffset val="100"/>
        <c:noMultiLvlLbl val="0"/>
      </c:catAx>
      <c:valAx>
        <c:axId val="351404760"/>
        <c:scaling>
          <c:orientation val="minMax"/>
        </c:scaling>
        <c:delete val="0"/>
        <c:axPos val="b"/>
        <c:majorGridlines/>
        <c:numFmt formatCode="#,###;[Black]#,###" sourceLinked="0"/>
        <c:majorTickMark val="out"/>
        <c:minorTickMark val="none"/>
        <c:tickLblPos val="nextTo"/>
        <c:crossAx val="2211924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2015.xlsx]Camp Analysis!PivotTable6</c:name>
    <c:fmtId val="5"/>
  </c:pivotSource>
  <c:chart>
    <c:title>
      <c:tx>
        <c:rich>
          <a:bodyPr/>
          <a:lstStyle/>
          <a:p>
            <a:pPr>
              <a:defRPr sz="1200"/>
            </a:pPr>
            <a:r>
              <a:rPr lang="en-US" sz="1200"/>
              <a:t>Camp</a:t>
            </a:r>
            <a:r>
              <a:rPr lang="en-US" sz="1200" baseline="0"/>
              <a:t> Management </a:t>
            </a:r>
            <a:r>
              <a:rPr lang="en-US" sz="1200"/>
              <a:t> Agency</a:t>
            </a:r>
            <a:r>
              <a:rPr lang="en-US" sz="1200" baseline="0"/>
              <a:t> &amp; Focal Point  / # IDPs</a:t>
            </a:r>
            <a:endParaRPr lang="en-US" sz="1200"/>
          </a:p>
        </c:rich>
      </c:tx>
      <c:layout>
        <c:manualLayout>
          <c:xMode val="edge"/>
          <c:yMode val="edge"/>
          <c:x val="0.10820955056326718"/>
          <c:y val="3.1045265576478947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s>
    <c:plotArea>
      <c:layout>
        <c:manualLayout>
          <c:layoutTarget val="inner"/>
          <c:xMode val="edge"/>
          <c:yMode val="edge"/>
          <c:x val="0.13410594538634496"/>
          <c:y val="0.20870031151993773"/>
          <c:w val="0.78069194219553173"/>
          <c:h val="0.51374542740986373"/>
        </c:manualLayout>
      </c:layout>
      <c:barChart>
        <c:barDir val="col"/>
        <c:grouping val="stacked"/>
        <c:varyColors val="0"/>
        <c:ser>
          <c:idx val="0"/>
          <c:order val="0"/>
          <c:tx>
            <c:strRef>
              <c:f>'Camp Analysis'!$I$38:$I$39</c:f>
              <c:strCache>
                <c:ptCount val="1"/>
                <c:pt idx="0">
                  <c:v>Camp Management</c:v>
                </c:pt>
              </c:strCache>
            </c:strRef>
          </c:tx>
          <c:invertIfNegative val="0"/>
          <c:cat>
            <c:strRef>
              <c:f>'Camp Analysis'!$H$40:$H$44</c:f>
              <c:strCache>
                <c:ptCount val="4"/>
                <c:pt idx="0">
                  <c:v>UNHCR</c:v>
                </c:pt>
                <c:pt idx="1">
                  <c:v>DRC</c:v>
                </c:pt>
                <c:pt idx="2">
                  <c:v>LWF</c:v>
                </c:pt>
                <c:pt idx="3">
                  <c:v>RI</c:v>
                </c:pt>
              </c:strCache>
            </c:strRef>
          </c:cat>
          <c:val>
            <c:numRef>
              <c:f>'Camp Analysis'!$I$40:$I$44</c:f>
              <c:numCache>
                <c:formatCode>General</c:formatCode>
                <c:ptCount val="4"/>
                <c:pt idx="1">
                  <c:v>49179</c:v>
                </c:pt>
                <c:pt idx="2">
                  <c:v>43210</c:v>
                </c:pt>
              </c:numCache>
            </c:numRef>
          </c:val>
        </c:ser>
        <c:ser>
          <c:idx val="1"/>
          <c:order val="1"/>
          <c:tx>
            <c:strRef>
              <c:f>'Camp Analysis'!$J$38:$J$39</c:f>
              <c:strCache>
                <c:ptCount val="1"/>
                <c:pt idx="0">
                  <c:v>Focal Point</c:v>
                </c:pt>
              </c:strCache>
            </c:strRef>
          </c:tx>
          <c:invertIfNegative val="0"/>
          <c:cat>
            <c:strRef>
              <c:f>'Camp Analysis'!$H$40:$H$44</c:f>
              <c:strCache>
                <c:ptCount val="4"/>
                <c:pt idx="0">
                  <c:v>UNHCR</c:v>
                </c:pt>
                <c:pt idx="1">
                  <c:v>DRC</c:v>
                </c:pt>
                <c:pt idx="2">
                  <c:v>LWF</c:v>
                </c:pt>
                <c:pt idx="3">
                  <c:v>RI</c:v>
                </c:pt>
              </c:strCache>
            </c:strRef>
          </c:cat>
          <c:val>
            <c:numRef>
              <c:f>'Camp Analysis'!$J$40:$J$44</c:f>
              <c:numCache>
                <c:formatCode>General</c:formatCode>
                <c:ptCount val="4"/>
                <c:pt idx="0">
                  <c:v>49660</c:v>
                </c:pt>
                <c:pt idx="3">
                  <c:v>3013</c:v>
                </c:pt>
              </c:numCache>
            </c:numRef>
          </c:val>
        </c:ser>
        <c:dLbls>
          <c:showLegendKey val="0"/>
          <c:showVal val="0"/>
          <c:showCatName val="0"/>
          <c:showSerName val="0"/>
          <c:showPercent val="0"/>
          <c:showBubbleSize val="0"/>
        </c:dLbls>
        <c:gapWidth val="150"/>
        <c:overlap val="100"/>
        <c:axId val="351408288"/>
        <c:axId val="351407896"/>
      </c:barChart>
      <c:catAx>
        <c:axId val="351408288"/>
        <c:scaling>
          <c:orientation val="minMax"/>
        </c:scaling>
        <c:delete val="0"/>
        <c:axPos val="b"/>
        <c:numFmt formatCode="General" sourceLinked="0"/>
        <c:majorTickMark val="out"/>
        <c:minorTickMark val="none"/>
        <c:tickLblPos val="nextTo"/>
        <c:txPr>
          <a:bodyPr/>
          <a:lstStyle/>
          <a:p>
            <a:pPr>
              <a:defRPr sz="900"/>
            </a:pPr>
            <a:endParaRPr lang="en-US"/>
          </a:p>
        </c:txPr>
        <c:crossAx val="351407896"/>
        <c:crosses val="autoZero"/>
        <c:auto val="1"/>
        <c:lblAlgn val="ctr"/>
        <c:lblOffset val="100"/>
        <c:noMultiLvlLbl val="0"/>
      </c:catAx>
      <c:valAx>
        <c:axId val="351407896"/>
        <c:scaling>
          <c:orientation val="minMax"/>
        </c:scaling>
        <c:delete val="0"/>
        <c:axPos val="l"/>
        <c:majorGridlines/>
        <c:numFmt formatCode="General" sourceLinked="1"/>
        <c:majorTickMark val="out"/>
        <c:minorTickMark val="none"/>
        <c:tickLblPos val="nextTo"/>
        <c:crossAx val="351408288"/>
        <c:crosses val="autoZero"/>
        <c:crossBetween val="between"/>
        <c:majorUnit val="10000"/>
      </c:valAx>
    </c:plotArea>
    <c:legend>
      <c:legendPos val="r"/>
      <c:layout>
        <c:manualLayout>
          <c:xMode val="edge"/>
          <c:yMode val="edge"/>
          <c:x val="0.23524019811766878"/>
          <c:y val="0.80344669505982702"/>
          <c:w val="0.51790679841325715"/>
          <c:h val="0.14752468821068798"/>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Kyauk_Phyu</c:v>
                </c:pt>
                <c:pt idx="1">
                  <c:v>Kyauktaw</c:v>
                </c:pt>
                <c:pt idx="2">
                  <c:v>Maungdaw</c:v>
                </c:pt>
                <c:pt idx="3">
                  <c:v>Myebon</c:v>
                </c:pt>
                <c:pt idx="4">
                  <c:v>Minbya</c:v>
                </c:pt>
                <c:pt idx="5">
                  <c:v>Mrauk_U</c:v>
                </c:pt>
                <c:pt idx="6">
                  <c:v>Pauktaw</c:v>
                </c:pt>
                <c:pt idx="7">
                  <c:v>Ramree</c:v>
                </c:pt>
                <c:pt idx="8">
                  <c:v>Rathedaung</c:v>
                </c:pt>
                <c:pt idx="9">
                  <c:v>Sittwe</c:v>
                </c:pt>
              </c:strCache>
            </c:strRef>
          </c:cat>
          <c:val>
            <c:numRef>
              <c:f>'Shelter Progress'!$Q$6:$Q$15</c:f>
              <c:numCache>
                <c:formatCode>0%</c:formatCode>
                <c:ptCount val="10"/>
                <c:pt idx="0">
                  <c:v>0.97560975609756095</c:v>
                </c:pt>
                <c:pt idx="1">
                  <c:v>1.054945054945055</c:v>
                </c:pt>
                <c:pt idx="2">
                  <c:v>0</c:v>
                </c:pt>
                <c:pt idx="3">
                  <c:v>1.0497237569060773</c:v>
                </c:pt>
                <c:pt idx="4">
                  <c:v>1.252469813391877</c:v>
                </c:pt>
                <c:pt idx="5">
                  <c:v>1.478688524590164</c:v>
                </c:pt>
                <c:pt idx="6">
                  <c:v>0.99210076857386853</c:v>
                </c:pt>
                <c:pt idx="7">
                  <c:v>1.2307692307692308</c:v>
                </c:pt>
                <c:pt idx="8">
                  <c:v>0.80321285140562249</c:v>
                </c:pt>
                <c:pt idx="9">
                  <c:v>0.86608442503639005</c:v>
                </c:pt>
              </c:numCache>
            </c:numRef>
          </c:val>
        </c:ser>
        <c:dLbls>
          <c:showLegendKey val="0"/>
          <c:showVal val="0"/>
          <c:showCatName val="0"/>
          <c:showSerName val="0"/>
          <c:showPercent val="0"/>
          <c:showBubbleSize val="0"/>
        </c:dLbls>
        <c:gapWidth val="75"/>
        <c:axId val="342224704"/>
        <c:axId val="342225096"/>
      </c:barChart>
      <c:catAx>
        <c:axId val="342224704"/>
        <c:scaling>
          <c:orientation val="minMax"/>
        </c:scaling>
        <c:delete val="0"/>
        <c:axPos val="b"/>
        <c:numFmt formatCode="General" sourceLinked="0"/>
        <c:majorTickMark val="none"/>
        <c:minorTickMark val="none"/>
        <c:tickLblPos val="nextTo"/>
        <c:crossAx val="342225096"/>
        <c:crosses val="autoZero"/>
        <c:auto val="1"/>
        <c:lblAlgn val="ctr"/>
        <c:lblOffset val="100"/>
        <c:noMultiLvlLbl val="0"/>
      </c:catAx>
      <c:valAx>
        <c:axId val="342225096"/>
        <c:scaling>
          <c:orientation val="minMax"/>
        </c:scaling>
        <c:delete val="0"/>
        <c:axPos val="l"/>
        <c:majorGridlines/>
        <c:numFmt formatCode="0%" sourceLinked="1"/>
        <c:majorTickMark val="none"/>
        <c:minorTickMark val="none"/>
        <c:tickLblPos val="nextTo"/>
        <c:spPr>
          <a:ln w="9525">
            <a:noFill/>
          </a:ln>
        </c:spPr>
        <c:crossAx val="342224704"/>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342225880"/>
        <c:axId val="342226272"/>
      </c:barChart>
      <c:catAx>
        <c:axId val="342225880"/>
        <c:scaling>
          <c:orientation val="minMax"/>
        </c:scaling>
        <c:delete val="0"/>
        <c:axPos val="b"/>
        <c:numFmt formatCode="General" sourceLinked="0"/>
        <c:majorTickMark val="out"/>
        <c:minorTickMark val="none"/>
        <c:tickLblPos val="nextTo"/>
        <c:crossAx val="342226272"/>
        <c:crosses val="autoZero"/>
        <c:auto val="1"/>
        <c:lblAlgn val="ctr"/>
        <c:lblOffset val="100"/>
        <c:noMultiLvlLbl val="0"/>
      </c:catAx>
      <c:valAx>
        <c:axId val="342226272"/>
        <c:scaling>
          <c:orientation val="minMax"/>
        </c:scaling>
        <c:delete val="0"/>
        <c:axPos val="l"/>
        <c:majorGridlines/>
        <c:numFmt formatCode="General" sourceLinked="1"/>
        <c:majorTickMark val="out"/>
        <c:minorTickMark val="none"/>
        <c:tickLblPos val="nextTo"/>
        <c:crossAx val="3422258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342227056"/>
        <c:axId val="342227448"/>
      </c:barChart>
      <c:catAx>
        <c:axId val="342227056"/>
        <c:scaling>
          <c:orientation val="minMax"/>
        </c:scaling>
        <c:delete val="0"/>
        <c:axPos val="l"/>
        <c:numFmt formatCode="General" sourceLinked="0"/>
        <c:majorTickMark val="out"/>
        <c:minorTickMark val="none"/>
        <c:tickLblPos val="nextTo"/>
        <c:spPr>
          <a:ln>
            <a:noFill/>
          </a:ln>
        </c:spPr>
        <c:crossAx val="342227448"/>
        <c:crosses val="autoZero"/>
        <c:auto val="1"/>
        <c:lblAlgn val="ctr"/>
        <c:lblOffset val="100"/>
        <c:noMultiLvlLbl val="0"/>
      </c:catAx>
      <c:valAx>
        <c:axId val="342227448"/>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342227056"/>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2015.xlsx]Shelter Summary (by agency)!PivotTable2</c:name>
    <c:fmtId val="4"/>
  </c:pivotSource>
  <c:chart>
    <c:title>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Kyauk_Phyu</c:v>
                </c:pt>
                <c:pt idx="2">
                  <c:v>Maungdaw</c:v>
                </c:pt>
                <c:pt idx="3">
                  <c:v>Rathedaung</c:v>
                </c:pt>
                <c:pt idx="4">
                  <c:v>Myebon</c:v>
                </c:pt>
                <c:pt idx="5">
                  <c:v>Mrauk_U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342228232"/>
        <c:axId val="352562792"/>
      </c:barChart>
      <c:catAx>
        <c:axId val="342228232"/>
        <c:scaling>
          <c:orientation val="minMax"/>
        </c:scaling>
        <c:delete val="0"/>
        <c:axPos val="l"/>
        <c:numFmt formatCode="General" sourceLinked="0"/>
        <c:majorTickMark val="out"/>
        <c:minorTickMark val="none"/>
        <c:tickLblPos val="nextTo"/>
        <c:crossAx val="352562792"/>
        <c:crosses val="autoZero"/>
        <c:auto val="1"/>
        <c:lblAlgn val="ctr"/>
        <c:lblOffset val="100"/>
        <c:noMultiLvlLbl val="0"/>
      </c:catAx>
      <c:valAx>
        <c:axId val="352562792"/>
        <c:scaling>
          <c:orientation val="minMax"/>
        </c:scaling>
        <c:delete val="0"/>
        <c:axPos val="b"/>
        <c:majorGridlines/>
        <c:numFmt formatCode="_-* #,##0_-;\-* #,##0_-;_-* &quot;-&quot;??_-;_-@_-" sourceLinked="1"/>
        <c:majorTickMark val="out"/>
        <c:minorTickMark val="none"/>
        <c:tickLblPos val="nextTo"/>
        <c:crossAx val="342228232"/>
        <c:crosses val="autoZero"/>
        <c:crossBetween val="between"/>
      </c:valAx>
    </c:plotArea>
    <c:legend>
      <c:legendPos val="r"/>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133208.52255001711</c:v>
                </c:pt>
                <c:pt idx="1">
                  <c:v>15676.907507251557</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0"/>
              <c:y val="-0.26203260886060514"/>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0"/>
                  <c:y val="-0.2620326088606051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352563968"/>
        <c:axId val="352564360"/>
      </c:barChart>
      <c:catAx>
        <c:axId val="352563968"/>
        <c:scaling>
          <c:orientation val="minMax"/>
        </c:scaling>
        <c:delete val="0"/>
        <c:axPos val="b"/>
        <c:numFmt formatCode="General" sourceLinked="0"/>
        <c:majorTickMark val="out"/>
        <c:minorTickMark val="none"/>
        <c:tickLblPos val="nextTo"/>
        <c:crossAx val="352564360"/>
        <c:crosses val="autoZero"/>
        <c:auto val="1"/>
        <c:lblAlgn val="ctr"/>
        <c:lblOffset val="100"/>
        <c:noMultiLvlLbl val="0"/>
      </c:catAx>
      <c:valAx>
        <c:axId val="352564360"/>
        <c:scaling>
          <c:orientation val="minMax"/>
        </c:scaling>
        <c:delete val="0"/>
        <c:axPos val="l"/>
        <c:majorGridlines/>
        <c:numFmt formatCode="General" sourceLinked="1"/>
        <c:majorTickMark val="out"/>
        <c:minorTickMark val="none"/>
        <c:tickLblPos val="nextTo"/>
        <c:crossAx val="3525639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tx>
            <c:strRef>
              <c:f>analysis!$B$2</c:f>
              <c:strCache>
                <c:ptCount val="1"/>
                <c:pt idx="0">
                  <c:v>Hygiene Family Kit</c:v>
                </c:pt>
              </c:strCache>
            </c:strRef>
          </c:tx>
          <c:invertIfNegative val="0"/>
          <c:cat>
            <c:strRef>
              <c:f>analysis!$A$3:$A$6</c:f>
              <c:strCache>
                <c:ptCount val="4"/>
                <c:pt idx="0">
                  <c:v>DRC</c:v>
                </c:pt>
                <c:pt idx="1">
                  <c:v>LWF</c:v>
                </c:pt>
                <c:pt idx="2">
                  <c:v>UNHCR</c:v>
                </c:pt>
                <c:pt idx="3">
                  <c:v>AGE</c:v>
                </c:pt>
              </c:strCache>
            </c:strRef>
          </c:cat>
          <c:val>
            <c:numRef>
              <c:f>analysis!$B$3:$B$6</c:f>
              <c:numCache>
                <c:formatCode>General</c:formatCode>
                <c:ptCount val="4"/>
                <c:pt idx="0">
                  <c:v>0</c:v>
                </c:pt>
                <c:pt idx="1">
                  <c:v>0</c:v>
                </c:pt>
                <c:pt idx="2">
                  <c:v>875</c:v>
                </c:pt>
                <c:pt idx="3">
                  <c:v>0</c:v>
                </c:pt>
              </c:numCache>
            </c:numRef>
          </c:val>
        </c:ser>
        <c:ser>
          <c:idx val="1"/>
          <c:order val="1"/>
          <c:tx>
            <c:strRef>
              <c:f>analysis!$C$2</c:f>
              <c:strCache>
                <c:ptCount val="1"/>
                <c:pt idx="0">
                  <c:v>NFI Core Kit</c:v>
                </c:pt>
              </c:strCache>
            </c:strRef>
          </c:tx>
          <c:invertIfNegative val="0"/>
          <c:cat>
            <c:strRef>
              <c:f>analysis!$A$3:$A$6</c:f>
              <c:strCache>
                <c:ptCount val="4"/>
                <c:pt idx="0">
                  <c:v>DRC</c:v>
                </c:pt>
                <c:pt idx="1">
                  <c:v>LWF</c:v>
                </c:pt>
                <c:pt idx="2">
                  <c:v>UNHCR</c:v>
                </c:pt>
                <c:pt idx="3">
                  <c:v>AGE</c:v>
                </c:pt>
              </c:strCache>
            </c:strRef>
          </c:cat>
          <c:val>
            <c:numRef>
              <c:f>analysis!$C$3:$C$6</c:f>
              <c:numCache>
                <c:formatCode>General</c:formatCode>
                <c:ptCount val="4"/>
                <c:pt idx="0">
                  <c:v>1364</c:v>
                </c:pt>
                <c:pt idx="1">
                  <c:v>1007</c:v>
                </c:pt>
                <c:pt idx="2">
                  <c:v>5634</c:v>
                </c:pt>
                <c:pt idx="3">
                  <c:v>0</c:v>
                </c:pt>
              </c:numCache>
            </c:numRef>
          </c:val>
        </c:ser>
        <c:ser>
          <c:idx val="2"/>
          <c:order val="2"/>
          <c:tx>
            <c:strRef>
              <c:f>analysis!$D$2</c:f>
              <c:strCache>
                <c:ptCount val="1"/>
                <c:pt idx="0">
                  <c:v>Women's Sanitary Kit</c:v>
                </c:pt>
              </c:strCache>
            </c:strRef>
          </c:tx>
          <c:invertIfNegative val="0"/>
          <c:cat>
            <c:strRef>
              <c:f>analysis!$A$3:$A$6</c:f>
              <c:strCache>
                <c:ptCount val="4"/>
                <c:pt idx="0">
                  <c:v>DRC</c:v>
                </c:pt>
                <c:pt idx="1">
                  <c:v>LWF</c:v>
                </c:pt>
                <c:pt idx="2">
                  <c:v>UNHCR</c:v>
                </c:pt>
                <c:pt idx="3">
                  <c:v>AGE</c:v>
                </c:pt>
              </c:strCache>
            </c:strRef>
          </c:cat>
          <c:val>
            <c:numRef>
              <c:f>analysis!$D$3:$D$6</c:f>
              <c:numCache>
                <c:formatCode>General</c:formatCode>
                <c:ptCount val="4"/>
                <c:pt idx="0">
                  <c:v>0</c:v>
                </c:pt>
                <c:pt idx="1">
                  <c:v>0</c:v>
                </c:pt>
                <c:pt idx="2">
                  <c:v>925</c:v>
                </c:pt>
                <c:pt idx="3">
                  <c:v>0</c:v>
                </c:pt>
              </c:numCache>
            </c:numRef>
          </c:val>
        </c:ser>
        <c:ser>
          <c:idx val="3"/>
          <c:order val="3"/>
          <c:tx>
            <c:strRef>
              <c:f>analysis!$E$2</c:f>
              <c:strCache>
                <c:ptCount val="1"/>
                <c:pt idx="0">
                  <c:v>Mosquito Nets</c:v>
                </c:pt>
              </c:strCache>
            </c:strRef>
          </c:tx>
          <c:invertIfNegative val="0"/>
          <c:cat>
            <c:strRef>
              <c:f>analysis!$A$3:$A$6</c:f>
              <c:strCache>
                <c:ptCount val="4"/>
                <c:pt idx="0">
                  <c:v>DRC</c:v>
                </c:pt>
                <c:pt idx="1">
                  <c:v>LWF</c:v>
                </c:pt>
                <c:pt idx="2">
                  <c:v>UNHCR</c:v>
                </c:pt>
                <c:pt idx="3">
                  <c:v>AGE</c:v>
                </c:pt>
              </c:strCache>
            </c:strRef>
          </c:cat>
          <c:val>
            <c:numRef>
              <c:f>analysis!$E$3:$E$6</c:f>
              <c:numCache>
                <c:formatCode>General</c:formatCode>
                <c:ptCount val="4"/>
                <c:pt idx="0">
                  <c:v>2728</c:v>
                </c:pt>
                <c:pt idx="1">
                  <c:v>2016</c:v>
                </c:pt>
                <c:pt idx="2">
                  <c:v>16012</c:v>
                </c:pt>
                <c:pt idx="3">
                  <c:v>0</c:v>
                </c:pt>
              </c:numCache>
            </c:numRef>
          </c:val>
        </c:ser>
        <c:ser>
          <c:idx val="4"/>
          <c:order val="4"/>
          <c:tx>
            <c:strRef>
              <c:f>analysis!$F$2</c:f>
              <c:strCache>
                <c:ptCount val="1"/>
                <c:pt idx="0">
                  <c:v>Tarpaulins</c:v>
                </c:pt>
              </c:strCache>
            </c:strRef>
          </c:tx>
          <c:invertIfNegative val="0"/>
          <c:cat>
            <c:strRef>
              <c:f>analysis!$A$3:$A$6</c:f>
              <c:strCache>
                <c:ptCount val="4"/>
                <c:pt idx="0">
                  <c:v>DRC</c:v>
                </c:pt>
                <c:pt idx="1">
                  <c:v>LWF</c:v>
                </c:pt>
                <c:pt idx="2">
                  <c:v>UNHCR</c:v>
                </c:pt>
                <c:pt idx="3">
                  <c:v>AGE</c:v>
                </c:pt>
              </c:strCache>
            </c:strRef>
          </c:cat>
          <c:val>
            <c:numRef>
              <c:f>analysis!$F$3:$F$6</c:f>
              <c:numCache>
                <c:formatCode>General</c:formatCode>
                <c:ptCount val="4"/>
                <c:pt idx="0">
                  <c:v>1364</c:v>
                </c:pt>
                <c:pt idx="1">
                  <c:v>1008</c:v>
                </c:pt>
                <c:pt idx="2">
                  <c:v>9400</c:v>
                </c:pt>
                <c:pt idx="3">
                  <c:v>0</c:v>
                </c:pt>
              </c:numCache>
            </c:numRef>
          </c:val>
        </c:ser>
        <c:ser>
          <c:idx val="5"/>
          <c:order val="5"/>
          <c:tx>
            <c:strRef>
              <c:f>analysis!$H$2</c:f>
              <c:strCache>
                <c:ptCount val="1"/>
                <c:pt idx="0">
                  <c:v>Blanket</c:v>
                </c:pt>
              </c:strCache>
            </c:strRef>
          </c:tx>
          <c:invertIfNegative val="0"/>
          <c:cat>
            <c:strRef>
              <c:f>analysis!$A$3:$A$6</c:f>
              <c:strCache>
                <c:ptCount val="4"/>
                <c:pt idx="0">
                  <c:v>DRC</c:v>
                </c:pt>
                <c:pt idx="1">
                  <c:v>LWF</c:v>
                </c:pt>
                <c:pt idx="2">
                  <c:v>UNHCR</c:v>
                </c:pt>
                <c:pt idx="3">
                  <c:v>AGE</c:v>
                </c:pt>
              </c:strCache>
            </c:strRef>
          </c:cat>
          <c:val>
            <c:numRef>
              <c:f>analysis!$H$3:$H$6</c:f>
              <c:numCache>
                <c:formatCode>General</c:formatCode>
                <c:ptCount val="4"/>
                <c:pt idx="0">
                  <c:v>2728</c:v>
                </c:pt>
                <c:pt idx="1">
                  <c:v>2016</c:v>
                </c:pt>
                <c:pt idx="2">
                  <c:v>17246</c:v>
                </c:pt>
                <c:pt idx="3">
                  <c:v>0</c:v>
                </c:pt>
              </c:numCache>
            </c:numRef>
          </c:val>
        </c:ser>
        <c:ser>
          <c:idx val="6"/>
          <c:order val="6"/>
          <c:tx>
            <c:strRef>
              <c:f>analysis!$I$2</c:f>
              <c:strCache>
                <c:ptCount val="1"/>
                <c:pt idx="0">
                  <c:v>Kitchen Set</c:v>
                </c:pt>
              </c:strCache>
            </c:strRef>
          </c:tx>
          <c:invertIfNegative val="0"/>
          <c:cat>
            <c:strRef>
              <c:f>analysis!$A$3:$A$6</c:f>
              <c:strCache>
                <c:ptCount val="4"/>
                <c:pt idx="0">
                  <c:v>DRC</c:v>
                </c:pt>
                <c:pt idx="1">
                  <c:v>LWF</c:v>
                </c:pt>
                <c:pt idx="2">
                  <c:v>UNHCR</c:v>
                </c:pt>
                <c:pt idx="3">
                  <c:v>AGE</c:v>
                </c:pt>
              </c:strCache>
            </c:strRef>
          </c:cat>
          <c:val>
            <c:numRef>
              <c:f>analysis!$I$3:$I$6</c:f>
              <c:numCache>
                <c:formatCode>General</c:formatCode>
                <c:ptCount val="4"/>
                <c:pt idx="0">
                  <c:v>1364</c:v>
                </c:pt>
                <c:pt idx="1">
                  <c:v>1008</c:v>
                </c:pt>
                <c:pt idx="2">
                  <c:v>7649</c:v>
                </c:pt>
                <c:pt idx="3">
                  <c:v>0</c:v>
                </c:pt>
              </c:numCache>
            </c:numRef>
          </c:val>
        </c:ser>
        <c:ser>
          <c:idx val="7"/>
          <c:order val="7"/>
          <c:tx>
            <c:strRef>
              <c:f>analysis!$J$2</c:f>
              <c:strCache>
                <c:ptCount val="1"/>
                <c:pt idx="0">
                  <c:v>Complementary Kit</c:v>
                </c:pt>
              </c:strCache>
            </c:strRef>
          </c:tx>
          <c:invertIfNegative val="0"/>
          <c:cat>
            <c:strRef>
              <c:f>analysis!$A$3:$A$6</c:f>
              <c:strCache>
                <c:ptCount val="4"/>
                <c:pt idx="0">
                  <c:v>DRC</c:v>
                </c:pt>
                <c:pt idx="1">
                  <c:v>LWF</c:v>
                </c:pt>
                <c:pt idx="2">
                  <c:v>UNHCR</c:v>
                </c:pt>
                <c:pt idx="3">
                  <c:v>AGE</c:v>
                </c:pt>
              </c:strCache>
            </c:strRef>
          </c:cat>
          <c:val>
            <c:numRef>
              <c:f>analysis!$J$3:$J$6</c:f>
              <c:numCache>
                <c:formatCode>General</c:formatCode>
                <c:ptCount val="4"/>
                <c:pt idx="0">
                  <c:v>0</c:v>
                </c:pt>
                <c:pt idx="1">
                  <c:v>0</c:v>
                </c:pt>
                <c:pt idx="2">
                  <c:v>509</c:v>
                </c:pt>
                <c:pt idx="3">
                  <c:v>0</c:v>
                </c:pt>
              </c:numCache>
            </c:numRef>
          </c:val>
        </c:ser>
        <c:dLbls>
          <c:showLegendKey val="0"/>
          <c:showVal val="0"/>
          <c:showCatName val="0"/>
          <c:showSerName val="0"/>
          <c:showPercent val="0"/>
          <c:showBubbleSize val="0"/>
        </c:dLbls>
        <c:gapWidth val="150"/>
        <c:axId val="427474632"/>
        <c:axId val="427475024"/>
      </c:barChart>
      <c:catAx>
        <c:axId val="427474632"/>
        <c:scaling>
          <c:orientation val="minMax"/>
        </c:scaling>
        <c:delete val="0"/>
        <c:axPos val="l"/>
        <c:numFmt formatCode="General" sourceLinked="0"/>
        <c:majorTickMark val="none"/>
        <c:minorTickMark val="none"/>
        <c:tickLblPos val="nextTo"/>
        <c:crossAx val="427475024"/>
        <c:crosses val="autoZero"/>
        <c:auto val="1"/>
        <c:lblAlgn val="ctr"/>
        <c:lblOffset val="100"/>
        <c:noMultiLvlLbl val="0"/>
      </c:catAx>
      <c:valAx>
        <c:axId val="427475024"/>
        <c:scaling>
          <c:orientation val="minMax"/>
        </c:scaling>
        <c:delete val="0"/>
        <c:axPos val="b"/>
        <c:majorGridlines/>
        <c:numFmt formatCode="General" sourceLinked="1"/>
        <c:majorTickMark val="none"/>
        <c:minorTickMark val="none"/>
        <c:tickLblPos val="nextTo"/>
        <c:crossAx val="4274746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overlay val="0"/>
    </c:title>
    <c:autoTitleDeleted val="0"/>
    <c:plotArea>
      <c:layout/>
      <c:barChart>
        <c:barDir val="col"/>
        <c:grouping val="stacked"/>
        <c:varyColors val="0"/>
        <c:ser>
          <c:idx val="1"/>
          <c:order val="0"/>
          <c:tx>
            <c:strRef>
              <c:f>'NFI Summary'!$H$16</c:f>
              <c:strCache>
                <c:ptCount val="1"/>
                <c:pt idx="0">
                  <c:v>Distributed</c:v>
                </c:pt>
              </c:strCache>
            </c:strRef>
          </c:tx>
          <c:spPr>
            <a:solidFill>
              <a:srgbClr val="25FF88"/>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Summary'!$H$17:$H$24</c:f>
              <c:numCache>
                <c:formatCode>0%</c:formatCode>
                <c:ptCount val="8"/>
                <c:pt idx="0">
                  <c:v>0.39834017490630019</c:v>
                </c:pt>
                <c:pt idx="1">
                  <c:v>0.42020346243084061</c:v>
                </c:pt>
                <c:pt idx="2">
                  <c:v>0.42098875602355879</c:v>
                </c:pt>
                <c:pt idx="3">
                  <c:v>0.35770123148313404</c:v>
                </c:pt>
                <c:pt idx="4">
                  <c:v>1.8168838122434409E-2</c:v>
                </c:pt>
                <c:pt idx="5">
                  <c:v>0.39189719792968053</c:v>
                </c:pt>
                <c:pt idx="6">
                  <c:v>0.34249509191504551</c:v>
                </c:pt>
                <c:pt idx="7">
                  <c:v>0.93041227913617708</c:v>
                </c:pt>
              </c:numCache>
            </c:numRef>
          </c:val>
        </c:ser>
        <c:ser>
          <c:idx val="3"/>
          <c:order val="1"/>
          <c:tx>
            <c:strRef>
              <c:f>'NFI Summary'!$J$16</c:f>
              <c:strCache>
                <c:ptCount val="1"/>
                <c:pt idx="0">
                  <c:v>In Stock</c:v>
                </c:pt>
              </c:strCache>
            </c:strRef>
          </c:tx>
          <c:spPr>
            <a:solidFill>
              <a:schemeClr val="accent1">
                <a:lumMod val="40000"/>
                <a:lumOff val="60000"/>
              </a:schemeClr>
            </a:solidFill>
            <a:ln>
              <a:noFill/>
            </a:ln>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Summary'!$J$17:$J$24</c:f>
              <c:numCache>
                <c:formatCode>0%</c:formatCode>
                <c:ptCount val="8"/>
                <c:pt idx="0">
                  <c:v>0.1080671069070141</c:v>
                </c:pt>
                <c:pt idx="1">
                  <c:v>0.13053721220774586</c:v>
                </c:pt>
                <c:pt idx="2">
                  <c:v>5.655898625736213E-2</c:v>
                </c:pt>
                <c:pt idx="3">
                  <c:v>0.1295734427985008</c:v>
                </c:pt>
                <c:pt idx="4">
                  <c:v>2.8556130644297699E-4</c:v>
                </c:pt>
                <c:pt idx="5">
                  <c:v>0.11301088702480813</c:v>
                </c:pt>
                <c:pt idx="6">
                  <c:v>0.10669284311975727</c:v>
                </c:pt>
                <c:pt idx="7">
                  <c:v>9.7640549705514904E-2</c:v>
                </c:pt>
              </c:numCache>
            </c:numRef>
          </c:val>
        </c:ser>
        <c:ser>
          <c:idx val="0"/>
          <c:order val="2"/>
          <c:tx>
            <c:strRef>
              <c:f>'NFI Summary'!$N$16</c:f>
              <c:strCache>
                <c:ptCount val="1"/>
                <c:pt idx="0">
                  <c:v>Pipeline</c:v>
                </c:pt>
              </c:strCache>
            </c:strRef>
          </c:tx>
          <c:spPr>
            <a:solidFill>
              <a:srgbClr val="FFC000"/>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Summary'!$N$17:$N$24</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Summary'!$P$16</c:f>
              <c:strCache>
                <c:ptCount val="1"/>
                <c:pt idx="0">
                  <c:v>Remaining Need</c:v>
                </c:pt>
              </c:strCache>
            </c:strRef>
          </c:tx>
          <c:spPr>
            <a:solidFill>
              <a:srgbClr val="FF5050"/>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Summary'!$P$17:$P$24</c:f>
              <c:numCache>
                <c:formatCode>0%</c:formatCode>
                <c:ptCount val="8"/>
                <c:pt idx="0">
                  <c:v>0.49359271818668571</c:v>
                </c:pt>
                <c:pt idx="1">
                  <c:v>0.44925932536141355</c:v>
                </c:pt>
                <c:pt idx="2">
                  <c:v>0.52245225771907911</c:v>
                </c:pt>
                <c:pt idx="3">
                  <c:v>0.51272532571836515</c:v>
                </c:pt>
                <c:pt idx="4">
                  <c:v>0.98154560057112261</c:v>
                </c:pt>
                <c:pt idx="5">
                  <c:v>0.49509191504551131</c:v>
                </c:pt>
                <c:pt idx="6">
                  <c:v>0.55081206496519719</c:v>
                </c:pt>
                <c:pt idx="7">
                  <c:v>0</c:v>
                </c:pt>
              </c:numCache>
            </c:numRef>
          </c:val>
        </c:ser>
        <c:dLbls>
          <c:showLegendKey val="0"/>
          <c:showVal val="0"/>
          <c:showCatName val="0"/>
          <c:showSerName val="0"/>
          <c:showPercent val="0"/>
          <c:showBubbleSize val="0"/>
        </c:dLbls>
        <c:gapWidth val="55"/>
        <c:overlap val="100"/>
        <c:axId val="427475808"/>
        <c:axId val="427476200"/>
      </c:barChart>
      <c:catAx>
        <c:axId val="427475808"/>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427476200"/>
        <c:crosses val="autoZero"/>
        <c:auto val="1"/>
        <c:lblAlgn val="ctr"/>
        <c:lblOffset val="100"/>
        <c:noMultiLvlLbl val="0"/>
      </c:catAx>
      <c:valAx>
        <c:axId val="427476200"/>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427475808"/>
        <c:crosses val="autoZero"/>
        <c:crossBetween val="between"/>
        <c:majorUnit val="0.2"/>
      </c:valAx>
      <c:spPr>
        <a:noFill/>
        <a:ln w="25400">
          <a:noFill/>
        </a:ln>
      </c:spPr>
    </c:plotArea>
    <c:legend>
      <c:legendPos val="r"/>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2015.xlsx]NFI Distribution (by Tship)!PivotTable3</c:name>
    <c:fmtId val="8"/>
  </c:pivotSource>
  <c:chart>
    <c:title>
      <c:tx>
        <c:rich>
          <a:bodyPr/>
          <a:lstStyle/>
          <a:p>
            <a:pPr>
              <a:defRPr/>
            </a:pPr>
            <a:r>
              <a:rPr lang="en-US"/>
              <a:t>Distributed items per organisation</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barChart>
        <c:barDir val="col"/>
        <c:grouping val="clustered"/>
        <c:varyColors val="0"/>
        <c:ser>
          <c:idx val="0"/>
          <c:order val="0"/>
          <c:tx>
            <c:strRef>
              <c:f>'NFI Distribution (by Tship)'!$B$55</c:f>
              <c:strCache>
                <c:ptCount val="1"/>
                <c:pt idx="0">
                  <c:v> Mosquito net </c:v>
                </c:pt>
              </c:strCache>
            </c:strRef>
          </c:tx>
          <c:invertIfNegative val="0"/>
          <c:cat>
            <c:strRef>
              <c:f>'NFI Distribution (by Tship)'!$A$56:$A$60</c:f>
              <c:strCache>
                <c:ptCount val="4"/>
                <c:pt idx="0">
                  <c:v>DRC</c:v>
                </c:pt>
                <c:pt idx="1">
                  <c:v>UNHCR</c:v>
                </c:pt>
                <c:pt idx="2">
                  <c:v>LWF</c:v>
                </c:pt>
                <c:pt idx="3">
                  <c:v>AGE</c:v>
                </c:pt>
              </c:strCache>
            </c:strRef>
          </c:cat>
          <c:val>
            <c:numRef>
              <c:f>'NFI Distribution (by Tship)'!$B$56:$B$60</c:f>
              <c:numCache>
                <c:formatCode>_-* #,##0_-;\-* #,##0_-;_-* "-"??_-;_-@_-</c:formatCode>
                <c:ptCount val="4"/>
                <c:pt idx="0">
                  <c:v>2728</c:v>
                </c:pt>
                <c:pt idx="1">
                  <c:v>16012</c:v>
                </c:pt>
                <c:pt idx="2">
                  <c:v>2016</c:v>
                </c:pt>
                <c:pt idx="3">
                  <c:v>0</c:v>
                </c:pt>
              </c:numCache>
            </c:numRef>
          </c:val>
        </c:ser>
        <c:ser>
          <c:idx val="1"/>
          <c:order val="1"/>
          <c:tx>
            <c:strRef>
              <c:f>'NFI Distribution (by Tship)'!$C$55</c:f>
              <c:strCache>
                <c:ptCount val="1"/>
                <c:pt idx="0">
                  <c:v>Tarpaulin </c:v>
                </c:pt>
              </c:strCache>
            </c:strRef>
          </c:tx>
          <c:invertIfNegative val="0"/>
          <c:cat>
            <c:strRef>
              <c:f>'NFI Distribution (by Tship)'!$A$56:$A$60</c:f>
              <c:strCache>
                <c:ptCount val="4"/>
                <c:pt idx="0">
                  <c:v>DRC</c:v>
                </c:pt>
                <c:pt idx="1">
                  <c:v>UNHCR</c:v>
                </c:pt>
                <c:pt idx="2">
                  <c:v>LWF</c:v>
                </c:pt>
                <c:pt idx="3">
                  <c:v>AGE</c:v>
                </c:pt>
              </c:strCache>
            </c:strRef>
          </c:cat>
          <c:val>
            <c:numRef>
              <c:f>'NFI Distribution (by Tship)'!$C$56:$C$60</c:f>
              <c:numCache>
                <c:formatCode>_-* #,##0_-;\-* #,##0_-;_-* "-"??_-;_-@_-</c:formatCode>
                <c:ptCount val="4"/>
                <c:pt idx="0">
                  <c:v>1364</c:v>
                </c:pt>
                <c:pt idx="1">
                  <c:v>9400</c:v>
                </c:pt>
                <c:pt idx="2">
                  <c:v>1008</c:v>
                </c:pt>
                <c:pt idx="3">
                  <c:v>0</c:v>
                </c:pt>
              </c:numCache>
            </c:numRef>
          </c:val>
        </c:ser>
        <c:ser>
          <c:idx val="2"/>
          <c:order val="2"/>
          <c:tx>
            <c:strRef>
              <c:f>'NFI Distribution (by Tship)'!$D$55</c:f>
              <c:strCache>
                <c:ptCount val="1"/>
                <c:pt idx="0">
                  <c:v>Blanket </c:v>
                </c:pt>
              </c:strCache>
            </c:strRef>
          </c:tx>
          <c:invertIfNegative val="0"/>
          <c:cat>
            <c:strRef>
              <c:f>'NFI Distribution (by Tship)'!$A$56:$A$60</c:f>
              <c:strCache>
                <c:ptCount val="4"/>
                <c:pt idx="0">
                  <c:v>DRC</c:v>
                </c:pt>
                <c:pt idx="1">
                  <c:v>UNHCR</c:v>
                </c:pt>
                <c:pt idx="2">
                  <c:v>LWF</c:v>
                </c:pt>
                <c:pt idx="3">
                  <c:v>AGE</c:v>
                </c:pt>
              </c:strCache>
            </c:strRef>
          </c:cat>
          <c:val>
            <c:numRef>
              <c:f>'NFI Distribution (by Tship)'!$D$56:$D$60</c:f>
              <c:numCache>
                <c:formatCode>_-* #,##0_-;\-* #,##0_-;_-* "-"??_-;_-@_-</c:formatCode>
                <c:ptCount val="4"/>
                <c:pt idx="0">
                  <c:v>2728</c:v>
                </c:pt>
                <c:pt idx="1">
                  <c:v>17246</c:v>
                </c:pt>
                <c:pt idx="2">
                  <c:v>2016</c:v>
                </c:pt>
                <c:pt idx="3">
                  <c:v>0</c:v>
                </c:pt>
              </c:numCache>
            </c:numRef>
          </c:val>
        </c:ser>
        <c:ser>
          <c:idx val="3"/>
          <c:order val="3"/>
          <c:tx>
            <c:strRef>
              <c:f>'NFI Distribution (by Tship)'!$E$55</c:f>
              <c:strCache>
                <c:ptCount val="1"/>
                <c:pt idx="0">
                  <c:v>Kitchen Set </c:v>
                </c:pt>
              </c:strCache>
            </c:strRef>
          </c:tx>
          <c:invertIfNegative val="0"/>
          <c:cat>
            <c:strRef>
              <c:f>'NFI Distribution (by Tship)'!$A$56:$A$60</c:f>
              <c:strCache>
                <c:ptCount val="4"/>
                <c:pt idx="0">
                  <c:v>DRC</c:v>
                </c:pt>
                <c:pt idx="1">
                  <c:v>UNHCR</c:v>
                </c:pt>
                <c:pt idx="2">
                  <c:v>LWF</c:v>
                </c:pt>
                <c:pt idx="3">
                  <c:v>AGE</c:v>
                </c:pt>
              </c:strCache>
            </c:strRef>
          </c:cat>
          <c:val>
            <c:numRef>
              <c:f>'NFI Distribution (by Tship)'!$E$56:$E$60</c:f>
              <c:numCache>
                <c:formatCode>_-* #,##0_-;\-* #,##0_-;_-* "-"??_-;_-@_-</c:formatCode>
                <c:ptCount val="4"/>
                <c:pt idx="0">
                  <c:v>1364</c:v>
                </c:pt>
                <c:pt idx="1">
                  <c:v>7649</c:v>
                </c:pt>
                <c:pt idx="2">
                  <c:v>1008</c:v>
                </c:pt>
                <c:pt idx="3">
                  <c:v>0</c:v>
                </c:pt>
              </c:numCache>
            </c:numRef>
          </c:val>
        </c:ser>
        <c:ser>
          <c:idx val="4"/>
          <c:order val="4"/>
          <c:tx>
            <c:strRef>
              <c:f>'NFI Distribution (by Tship)'!$F$55</c:f>
              <c:strCache>
                <c:ptCount val="1"/>
                <c:pt idx="0">
                  <c:v>Complementary Kit </c:v>
                </c:pt>
              </c:strCache>
            </c:strRef>
          </c:tx>
          <c:invertIfNegative val="0"/>
          <c:cat>
            <c:strRef>
              <c:f>'NFI Distribution (by Tship)'!$A$56:$A$60</c:f>
              <c:strCache>
                <c:ptCount val="4"/>
                <c:pt idx="0">
                  <c:v>DRC</c:v>
                </c:pt>
                <c:pt idx="1">
                  <c:v>UNHCR</c:v>
                </c:pt>
                <c:pt idx="2">
                  <c:v>LWF</c:v>
                </c:pt>
                <c:pt idx="3">
                  <c:v>AGE</c:v>
                </c:pt>
              </c:strCache>
            </c:strRef>
          </c:cat>
          <c:val>
            <c:numRef>
              <c:f>'NFI Distribution (by Tship)'!$F$56:$F$60</c:f>
              <c:numCache>
                <c:formatCode>_-* #,##0_-;\-* #,##0_-;_-* "-"??_-;_-@_-</c:formatCode>
                <c:ptCount val="4"/>
                <c:pt idx="0">
                  <c:v>0</c:v>
                </c:pt>
                <c:pt idx="1">
                  <c:v>509</c:v>
                </c:pt>
                <c:pt idx="2">
                  <c:v>0</c:v>
                </c:pt>
                <c:pt idx="3">
                  <c:v>0</c:v>
                </c:pt>
              </c:numCache>
            </c:numRef>
          </c:val>
        </c:ser>
        <c:ser>
          <c:idx val="5"/>
          <c:order val="5"/>
          <c:tx>
            <c:strRef>
              <c:f>'NFI Distribution (by Tship)'!$G$55</c:f>
              <c:strCache>
                <c:ptCount val="1"/>
                <c:pt idx="0">
                  <c:v>Plastic Bucket </c:v>
                </c:pt>
              </c:strCache>
            </c:strRef>
          </c:tx>
          <c:invertIfNegative val="0"/>
          <c:cat>
            <c:strRef>
              <c:f>'NFI Distribution (by Tship)'!$A$56:$A$60</c:f>
              <c:strCache>
                <c:ptCount val="4"/>
                <c:pt idx="0">
                  <c:v>DRC</c:v>
                </c:pt>
                <c:pt idx="1">
                  <c:v>UNHCR</c:v>
                </c:pt>
                <c:pt idx="2">
                  <c:v>LWF</c:v>
                </c:pt>
                <c:pt idx="3">
                  <c:v>AGE</c:v>
                </c:pt>
              </c:strCache>
            </c:strRef>
          </c:cat>
          <c:val>
            <c:numRef>
              <c:f>'NFI Distribution (by Tship)'!$G$56:$G$60</c:f>
              <c:numCache>
                <c:formatCode>_-* #,##0_-;\-* #,##0_-;_-* "-"??_-;_-@_-</c:formatCode>
                <c:ptCount val="4"/>
                <c:pt idx="0">
                  <c:v>1364</c:v>
                </c:pt>
                <c:pt idx="1">
                  <c:v>8625</c:v>
                </c:pt>
                <c:pt idx="2">
                  <c:v>990</c:v>
                </c:pt>
                <c:pt idx="3">
                  <c:v>0</c:v>
                </c:pt>
              </c:numCache>
            </c:numRef>
          </c:val>
        </c:ser>
        <c:ser>
          <c:idx val="6"/>
          <c:order val="6"/>
          <c:tx>
            <c:strRef>
              <c:f>'NFI Distribution (by Tship)'!$H$55</c:f>
              <c:strCache>
                <c:ptCount val="1"/>
                <c:pt idx="0">
                  <c:v> Jerry Can</c:v>
                </c:pt>
              </c:strCache>
            </c:strRef>
          </c:tx>
          <c:invertIfNegative val="0"/>
          <c:cat>
            <c:strRef>
              <c:f>'NFI Distribution (by Tship)'!$A$56:$A$60</c:f>
              <c:strCache>
                <c:ptCount val="4"/>
                <c:pt idx="0">
                  <c:v>DRC</c:v>
                </c:pt>
                <c:pt idx="1">
                  <c:v>UNHCR</c:v>
                </c:pt>
                <c:pt idx="2">
                  <c:v>LWF</c:v>
                </c:pt>
                <c:pt idx="3">
                  <c:v>AGE</c:v>
                </c:pt>
              </c:strCache>
            </c:strRef>
          </c:cat>
          <c:val>
            <c:numRef>
              <c:f>'NFI Distribution (by Tship)'!$H$56:$H$60</c:f>
              <c:numCache>
                <c:formatCode>_-* #,##0_-;\-* #,##0_-;_-* "-"??_-;_-@_-</c:formatCode>
                <c:ptCount val="4"/>
                <c:pt idx="0">
                  <c:v>1364</c:v>
                </c:pt>
                <c:pt idx="1">
                  <c:v>7224</c:v>
                </c:pt>
                <c:pt idx="2">
                  <c:v>1007</c:v>
                </c:pt>
                <c:pt idx="3">
                  <c:v>0</c:v>
                </c:pt>
              </c:numCache>
            </c:numRef>
          </c:val>
        </c:ser>
        <c:ser>
          <c:idx val="7"/>
          <c:order val="7"/>
          <c:tx>
            <c:strRef>
              <c:f>'NFI Distribution (by Tship)'!$I$55</c:f>
              <c:strCache>
                <c:ptCount val="1"/>
                <c:pt idx="0">
                  <c:v>Plastic  Mat </c:v>
                </c:pt>
              </c:strCache>
            </c:strRef>
          </c:tx>
          <c:invertIfNegative val="0"/>
          <c:cat>
            <c:strRef>
              <c:f>'NFI Distribution (by Tship)'!$A$56:$A$60</c:f>
              <c:strCache>
                <c:ptCount val="4"/>
                <c:pt idx="0">
                  <c:v>DRC</c:v>
                </c:pt>
                <c:pt idx="1">
                  <c:v>UNHCR</c:v>
                </c:pt>
                <c:pt idx="2">
                  <c:v>LWF</c:v>
                </c:pt>
                <c:pt idx="3">
                  <c:v>AGE</c:v>
                </c:pt>
              </c:strCache>
            </c:strRef>
          </c:cat>
          <c:val>
            <c:numRef>
              <c:f>'NFI Distribution (by Tship)'!$I$56:$I$60</c:f>
              <c:numCache>
                <c:formatCode>_-* #,##0_-;\-* #,##0_-;_-* "-"??_-;_-@_-</c:formatCode>
                <c:ptCount val="4"/>
                <c:pt idx="0">
                  <c:v>17050</c:v>
                </c:pt>
                <c:pt idx="1">
                  <c:v>100677.5</c:v>
                </c:pt>
                <c:pt idx="2">
                  <c:v>12600</c:v>
                </c:pt>
                <c:pt idx="3">
                  <c:v>0</c:v>
                </c:pt>
              </c:numCache>
            </c:numRef>
          </c:val>
        </c:ser>
        <c:dLbls>
          <c:showLegendKey val="0"/>
          <c:showVal val="0"/>
          <c:showCatName val="0"/>
          <c:showSerName val="0"/>
          <c:showPercent val="0"/>
          <c:showBubbleSize val="0"/>
        </c:dLbls>
        <c:gapWidth val="150"/>
        <c:axId val="427476984"/>
        <c:axId val="427477376"/>
      </c:barChart>
      <c:catAx>
        <c:axId val="427476984"/>
        <c:scaling>
          <c:orientation val="minMax"/>
        </c:scaling>
        <c:delete val="0"/>
        <c:axPos val="b"/>
        <c:numFmt formatCode="General" sourceLinked="0"/>
        <c:majorTickMark val="out"/>
        <c:minorTickMark val="none"/>
        <c:tickLblPos val="nextTo"/>
        <c:crossAx val="427477376"/>
        <c:crosses val="autoZero"/>
        <c:auto val="1"/>
        <c:lblAlgn val="ctr"/>
        <c:lblOffset val="100"/>
        <c:noMultiLvlLbl val="0"/>
      </c:catAx>
      <c:valAx>
        <c:axId val="427477376"/>
        <c:scaling>
          <c:orientation val="minMax"/>
        </c:scaling>
        <c:delete val="0"/>
        <c:axPos val="l"/>
        <c:majorGridlines/>
        <c:numFmt formatCode="_-* #,##0_-;\-* #,##0_-;_-* &quot;-&quot;??_-;_-@_-" sourceLinked="1"/>
        <c:majorTickMark val="out"/>
        <c:minorTickMark val="none"/>
        <c:tickLblPos val="nextTo"/>
        <c:crossAx val="4274769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December 2015.xlsx]Vulnerability per Camp!PivotTable4</c:name>
    <c:fmtId val="0"/>
  </c:pivotSource>
  <c:chart>
    <c:title>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'Vulnerability per Camp'!$K$1</c:f>
              <c:strCache>
                <c:ptCount val="1"/>
                <c:pt idx="0">
                  <c:v>Total</c:v>
                </c:pt>
              </c:strCache>
            </c:strRef>
          </c:tx>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'Vulnerability per Camp'!$J$2:$J$10</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Camp'!$K$2:$K$10</c:f>
              <c:numCache>
                <c:formatCode>_-* #,##0_-;\-* #,##0_-;_-* "-"??_-;_-@_-</c:formatCode>
                <c:ptCount val="8"/>
                <c:pt idx="0">
                  <c:v>377</c:v>
                </c:pt>
                <c:pt idx="1">
                  <c:v>240</c:v>
                </c:pt>
                <c:pt idx="2">
                  <c:v>633</c:v>
                </c:pt>
                <c:pt idx="3">
                  <c:v>2245</c:v>
                </c:pt>
                <c:pt idx="4">
                  <c:v>3209</c:v>
                </c:pt>
                <c:pt idx="5">
                  <c:v>615</c:v>
                </c:pt>
                <c:pt idx="6">
                  <c:v>843</c:v>
                </c:pt>
                <c:pt idx="7">
                  <c:v>1014</c:v>
                </c:pt>
              </c:numCache>
            </c:numRef>
          </c:val>
        </c:ser>
        <c:dLbls>
          <c:showLegendKey val="0"/>
          <c:showVal val="0"/>
          <c:showCatName val="0"/>
          <c:showSerName val="0"/>
          <c:showPercent val="0"/>
          <c:showBubbleSize val="0"/>
        </c:dLbls>
        <c:gapWidth val="150"/>
        <c:axId val="351405544"/>
        <c:axId val="351405936"/>
      </c:barChart>
      <c:catAx>
        <c:axId val="351405544"/>
        <c:scaling>
          <c:orientation val="minMax"/>
        </c:scaling>
        <c:delete val="0"/>
        <c:axPos val="b"/>
        <c:numFmt formatCode="General" sourceLinked="0"/>
        <c:majorTickMark val="out"/>
        <c:minorTickMark val="none"/>
        <c:tickLblPos val="nextTo"/>
        <c:crossAx val="351405936"/>
        <c:crosses val="autoZero"/>
        <c:auto val="1"/>
        <c:lblAlgn val="ctr"/>
        <c:lblOffset val="100"/>
        <c:noMultiLvlLbl val="0"/>
      </c:catAx>
      <c:valAx>
        <c:axId val="351405936"/>
        <c:scaling>
          <c:orientation val="minMax"/>
        </c:scaling>
        <c:delete val="0"/>
        <c:axPos val="l"/>
        <c:majorGridlines/>
        <c:numFmt formatCode="_-* #,##0_-;\-* #,##0_-;_-* &quot;-&quot;??_-;_-@_-" sourceLinked="1"/>
        <c:majorTickMark val="out"/>
        <c:minorTickMark val="none"/>
        <c:tickLblPos val="nextTo"/>
        <c:crossAx val="3514055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Analysis'!$N$8</c:f>
              <c:strCache>
                <c:ptCount val="1"/>
                <c:pt idx="0">
                  <c:v>Total</c:v>
                </c:pt>
              </c:strCache>
            </c:strRef>
          </c:tx>
          <c:invertIfNegative val="0"/>
          <c:cat>
            <c:strRef>
              <c:f>'Camp Analysis'!$M$9:$M$19</c:f>
              <c:strCache>
                <c:ptCount val="10"/>
                <c:pt idx="0">
                  <c:v>Sittwe</c:v>
                </c:pt>
                <c:pt idx="1">
                  <c:v>Pauktaw</c:v>
                </c:pt>
                <c:pt idx="2">
                  <c:v>Kyauktaw</c:v>
                </c:pt>
                <c:pt idx="3">
                  <c:v>Minbya</c:v>
                </c:pt>
                <c:pt idx="4">
                  <c:v>Rathedaung</c:v>
                </c:pt>
                <c:pt idx="5">
                  <c:v>Mrauk_U</c:v>
                </c:pt>
                <c:pt idx="6">
                  <c:v>Myebon</c:v>
                </c:pt>
                <c:pt idx="7">
                  <c:v>Kyauk_Phyu</c:v>
                </c:pt>
                <c:pt idx="8">
                  <c:v>Maungdaw</c:v>
                </c:pt>
                <c:pt idx="9">
                  <c:v>Ramree</c:v>
                </c:pt>
              </c:strCache>
            </c:strRef>
          </c:cat>
          <c:val>
            <c:numRef>
              <c:f>'Camp Analysis'!$N$9:$N$19</c:f>
              <c:numCache>
                <c:formatCode>General</c:formatCode>
                <c:ptCount val="10"/>
                <c:pt idx="0">
                  <c:v>99208</c:v>
                </c:pt>
                <c:pt idx="1">
                  <c:v>19545</c:v>
                </c:pt>
                <c:pt idx="2">
                  <c:v>6512</c:v>
                </c:pt>
                <c:pt idx="3">
                  <c:v>5638</c:v>
                </c:pt>
                <c:pt idx="4">
                  <c:v>4055</c:v>
                </c:pt>
                <c:pt idx="5">
                  <c:v>3826</c:v>
                </c:pt>
                <c:pt idx="6">
                  <c:v>3013</c:v>
                </c:pt>
                <c:pt idx="7">
                  <c:v>1601</c:v>
                </c:pt>
                <c:pt idx="8">
                  <c:v>1400</c:v>
                </c:pt>
                <c:pt idx="9">
                  <c:v>264</c:v>
                </c:pt>
              </c:numCache>
            </c:numRef>
          </c:val>
        </c:ser>
        <c:dLbls>
          <c:showLegendKey val="0"/>
          <c:showVal val="0"/>
          <c:showCatName val="0"/>
          <c:showSerName val="0"/>
          <c:showPercent val="0"/>
          <c:showBubbleSize val="0"/>
        </c:dLbls>
        <c:gapWidth val="150"/>
        <c:axId val="351406720"/>
        <c:axId val="351407112"/>
      </c:barChart>
      <c:catAx>
        <c:axId val="351406720"/>
        <c:scaling>
          <c:orientation val="minMax"/>
        </c:scaling>
        <c:delete val="0"/>
        <c:axPos val="l"/>
        <c:numFmt formatCode="General" sourceLinked="0"/>
        <c:majorTickMark val="out"/>
        <c:minorTickMark val="none"/>
        <c:tickLblPos val="nextTo"/>
        <c:txPr>
          <a:bodyPr/>
          <a:lstStyle/>
          <a:p>
            <a:pPr>
              <a:defRPr sz="1050"/>
            </a:pPr>
            <a:endParaRPr lang="en-US"/>
          </a:p>
        </c:txPr>
        <c:crossAx val="351407112"/>
        <c:crosses val="autoZero"/>
        <c:auto val="1"/>
        <c:lblAlgn val="ctr"/>
        <c:lblOffset val="100"/>
        <c:noMultiLvlLbl val="0"/>
      </c:catAx>
      <c:valAx>
        <c:axId val="351407112"/>
        <c:scaling>
          <c:orientation val="minMax"/>
        </c:scaling>
        <c:delete val="0"/>
        <c:axPos val="b"/>
        <c:majorGridlines/>
        <c:numFmt formatCode="General" sourceLinked="1"/>
        <c:majorTickMark val="out"/>
        <c:minorTickMark val="none"/>
        <c:tickLblPos val="nextTo"/>
        <c:crossAx val="351406720"/>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2015.xlsx]Camp Analysis!PivotTable7</c:name>
    <c:fmtId val="10"/>
  </c:pivotSource>
  <c:chart>
    <c:title>
      <c:tx>
        <c:rich>
          <a:bodyPr/>
          <a:lstStyle/>
          <a:p>
            <a:pPr>
              <a:defRPr/>
            </a:pPr>
            <a:r>
              <a:rPr lang="en-US"/>
              <a:t>Zone 1</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barChart>
        <c:barDir val="col"/>
        <c:grouping val="stacked"/>
        <c:varyColors val="0"/>
        <c:ser>
          <c:idx val="0"/>
          <c:order val="0"/>
          <c:tx>
            <c:strRef>
              <c:f>'Camp Analysis'!$B$89:$B$91</c:f>
              <c:strCache>
                <c:ptCount val="1"/>
                <c:pt idx="0">
                  <c:v>Maramargyi - Self Settled Camp</c:v>
                </c:pt>
              </c:strCache>
            </c:strRef>
          </c:tx>
          <c:invertIfNegative val="0"/>
          <c:cat>
            <c:multiLvlStrRef>
              <c:f>'Camp Analysis'!$A$92:$A$117</c:f>
              <c:multiLvlStrCache>
                <c:ptCount val="22"/>
                <c:lvl>
                  <c:pt idx="0">
                    <c:v>Ah Lel Kyun</c:v>
                  </c:pt>
                  <c:pt idx="1">
                    <c:v>Ah Lel</c:v>
                  </c:pt>
                  <c:pt idx="2">
                    <c:v>Let Saung Kauk</c:v>
                  </c:pt>
                  <c:pt idx="3">
                    <c:v>Taung Bwe</c:v>
                  </c:pt>
                  <c:pt idx="4">
                    <c:v>Nidin</c:v>
                  </c:pt>
                  <c:pt idx="5">
                    <c:v>Khaung Htoke</c:v>
                  </c:pt>
                  <c:pt idx="6">
                    <c:v>Ah Pauk Wa </c:v>
                  </c:pt>
                  <c:pt idx="7">
                    <c:v>Yun Nyar</c:v>
                  </c:pt>
                  <c:pt idx="8">
                    <c:v>Goke Pi Htaunt</c:v>
                  </c:pt>
                  <c:pt idx="9">
                    <c:v>Shwe Hlaing</c:v>
                  </c:pt>
                  <c:pt idx="10">
                    <c:v>In Bar Yi</c:v>
                  </c:pt>
                  <c:pt idx="11">
                    <c:v>Set Yone Maw</c:v>
                  </c:pt>
                  <c:pt idx="12">
                    <c:v>Paik Thay</c:v>
                  </c:pt>
                  <c:pt idx="13">
                    <c:v>Aung Taing</c:v>
                  </c:pt>
                  <c:pt idx="14">
                    <c:v>San Htoe Tan</c:v>
                  </c:pt>
                  <c:pt idx="15">
                    <c:v>Sam Ba Le</c:v>
                  </c:pt>
                  <c:pt idx="16">
                    <c:v>Tha Dar</c:v>
                  </c:pt>
                  <c:pt idx="17">
                    <c:v>Tha Yet Oak</c:v>
                  </c:pt>
                  <c:pt idx="18">
                    <c:v>Raw Ma Ni Sin Oe</c:v>
                  </c:pt>
                  <c:pt idx="19">
                    <c:v>Thi Kyar</c:v>
                  </c:pt>
                  <c:pt idx="20">
                    <c:v>Pa Rein</c:v>
                  </c:pt>
                  <c:pt idx="21">
                    <c:v>Yai Thei-Muslim</c:v>
                  </c:pt>
                </c:lvl>
                <c:lvl>
                  <c:pt idx="0">
                    <c:v>Kyauktaw</c:v>
                  </c:pt>
                  <c:pt idx="11">
                    <c:v>Minbya</c:v>
                  </c:pt>
                  <c:pt idx="18">
                    <c:v>Mrauk_U</c:v>
                  </c:pt>
                </c:lvl>
              </c:multiLvlStrCache>
            </c:multiLvlStrRef>
          </c:cat>
          <c:val>
            <c:numRef>
              <c:f>'Camp Analysis'!$B$92:$B$117</c:f>
              <c:numCache>
                <c:formatCode>#,##0</c:formatCode>
                <c:ptCount val="22"/>
                <c:pt idx="18">
                  <c:v>64</c:v>
                </c:pt>
              </c:numCache>
            </c:numRef>
          </c:val>
        </c:ser>
        <c:ser>
          <c:idx val="1"/>
          <c:order val="1"/>
          <c:tx>
            <c:strRef>
              <c:f>'Camp Analysis'!$D$89:$D$91</c:f>
              <c:strCache>
                <c:ptCount val="1"/>
                <c:pt idx="0">
                  <c:v>Rakhine - Self Settled Camp</c:v>
                </c:pt>
              </c:strCache>
            </c:strRef>
          </c:tx>
          <c:invertIfNegative val="0"/>
          <c:cat>
            <c:multiLvlStrRef>
              <c:f>'Camp Analysis'!$A$92:$A$117</c:f>
              <c:multiLvlStrCache>
                <c:ptCount val="22"/>
                <c:lvl>
                  <c:pt idx="0">
                    <c:v>Ah Lel Kyun</c:v>
                  </c:pt>
                  <c:pt idx="1">
                    <c:v>Ah Lel</c:v>
                  </c:pt>
                  <c:pt idx="2">
                    <c:v>Let Saung Kauk</c:v>
                  </c:pt>
                  <c:pt idx="3">
                    <c:v>Taung Bwe</c:v>
                  </c:pt>
                  <c:pt idx="4">
                    <c:v>Nidin</c:v>
                  </c:pt>
                  <c:pt idx="5">
                    <c:v>Khaung Htoke</c:v>
                  </c:pt>
                  <c:pt idx="6">
                    <c:v>Ah Pauk Wa </c:v>
                  </c:pt>
                  <c:pt idx="7">
                    <c:v>Yun Nyar</c:v>
                  </c:pt>
                  <c:pt idx="8">
                    <c:v>Goke Pi Htaunt</c:v>
                  </c:pt>
                  <c:pt idx="9">
                    <c:v>Shwe Hlaing</c:v>
                  </c:pt>
                  <c:pt idx="10">
                    <c:v>In Bar Yi</c:v>
                  </c:pt>
                  <c:pt idx="11">
                    <c:v>Set Yone Maw</c:v>
                  </c:pt>
                  <c:pt idx="12">
                    <c:v>Paik Thay</c:v>
                  </c:pt>
                  <c:pt idx="13">
                    <c:v>Aung Taing</c:v>
                  </c:pt>
                  <c:pt idx="14">
                    <c:v>San Htoe Tan</c:v>
                  </c:pt>
                  <c:pt idx="15">
                    <c:v>Sam Ba Le</c:v>
                  </c:pt>
                  <c:pt idx="16">
                    <c:v>Tha Dar</c:v>
                  </c:pt>
                  <c:pt idx="17">
                    <c:v>Tha Yet Oak</c:v>
                  </c:pt>
                  <c:pt idx="18">
                    <c:v>Raw Ma Ni Sin Oe</c:v>
                  </c:pt>
                  <c:pt idx="19">
                    <c:v>Thi Kyar</c:v>
                  </c:pt>
                  <c:pt idx="20">
                    <c:v>Pa Rein</c:v>
                  </c:pt>
                  <c:pt idx="21">
                    <c:v>Yai Thei-Muslim</c:v>
                  </c:pt>
                </c:lvl>
                <c:lvl>
                  <c:pt idx="0">
                    <c:v>Kyauktaw</c:v>
                  </c:pt>
                  <c:pt idx="11">
                    <c:v>Minbya</c:v>
                  </c:pt>
                  <c:pt idx="18">
                    <c:v>Mrauk_U</c:v>
                  </c:pt>
                </c:lvl>
              </c:multiLvlStrCache>
            </c:multiLvlStrRef>
          </c:cat>
          <c:val>
            <c:numRef>
              <c:f>'Camp Analysis'!$D$92:$D$117</c:f>
              <c:numCache>
                <c:formatCode>#,##0</c:formatCode>
                <c:ptCount val="22"/>
                <c:pt idx="11">
                  <c:v>72</c:v>
                </c:pt>
                <c:pt idx="19">
                  <c:v>131</c:v>
                </c:pt>
              </c:numCache>
            </c:numRef>
          </c:val>
        </c:ser>
        <c:ser>
          <c:idx val="2"/>
          <c:order val="2"/>
          <c:tx>
            <c:strRef>
              <c:f>'Camp Analysis'!$F$89:$F$91</c:f>
              <c:strCache>
                <c:ptCount val="1"/>
                <c:pt idx="0">
                  <c:v>  - Self Settled Camp</c:v>
                </c:pt>
              </c:strCache>
            </c:strRef>
          </c:tx>
          <c:invertIfNegative val="0"/>
          <c:cat>
            <c:multiLvlStrRef>
              <c:f>'Camp Analysis'!$A$92:$A$117</c:f>
              <c:multiLvlStrCache>
                <c:ptCount val="22"/>
                <c:lvl>
                  <c:pt idx="0">
                    <c:v>Ah Lel Kyun</c:v>
                  </c:pt>
                  <c:pt idx="1">
                    <c:v>Ah Lel</c:v>
                  </c:pt>
                  <c:pt idx="2">
                    <c:v>Let Saung Kauk</c:v>
                  </c:pt>
                  <c:pt idx="3">
                    <c:v>Taung Bwe</c:v>
                  </c:pt>
                  <c:pt idx="4">
                    <c:v>Nidin</c:v>
                  </c:pt>
                  <c:pt idx="5">
                    <c:v>Khaung Htoke</c:v>
                  </c:pt>
                  <c:pt idx="6">
                    <c:v>Ah Pauk Wa </c:v>
                  </c:pt>
                  <c:pt idx="7">
                    <c:v>Yun Nyar</c:v>
                  </c:pt>
                  <c:pt idx="8">
                    <c:v>Goke Pi Htaunt</c:v>
                  </c:pt>
                  <c:pt idx="9">
                    <c:v>Shwe Hlaing</c:v>
                  </c:pt>
                  <c:pt idx="10">
                    <c:v>In Bar Yi</c:v>
                  </c:pt>
                  <c:pt idx="11">
                    <c:v>Set Yone Maw</c:v>
                  </c:pt>
                  <c:pt idx="12">
                    <c:v>Paik Thay</c:v>
                  </c:pt>
                  <c:pt idx="13">
                    <c:v>Aung Taing</c:v>
                  </c:pt>
                  <c:pt idx="14">
                    <c:v>San Htoe Tan</c:v>
                  </c:pt>
                  <c:pt idx="15">
                    <c:v>Sam Ba Le</c:v>
                  </c:pt>
                  <c:pt idx="16">
                    <c:v>Tha Dar</c:v>
                  </c:pt>
                  <c:pt idx="17">
                    <c:v>Tha Yet Oak</c:v>
                  </c:pt>
                  <c:pt idx="18">
                    <c:v>Raw Ma Ni Sin Oe</c:v>
                  </c:pt>
                  <c:pt idx="19">
                    <c:v>Thi Kyar</c:v>
                  </c:pt>
                  <c:pt idx="20">
                    <c:v>Pa Rein</c:v>
                  </c:pt>
                  <c:pt idx="21">
                    <c:v>Yai Thei-Muslim</c:v>
                  </c:pt>
                </c:lvl>
                <c:lvl>
                  <c:pt idx="0">
                    <c:v>Kyauktaw</c:v>
                  </c:pt>
                  <c:pt idx="11">
                    <c:v>Minbya</c:v>
                  </c:pt>
                  <c:pt idx="18">
                    <c:v>Mrauk_U</c:v>
                  </c:pt>
                </c:lvl>
              </c:multiLvlStrCache>
            </c:multiLvlStrRef>
          </c:cat>
          <c:val>
            <c:numRef>
              <c:f>'Camp Analysis'!$F$92:$F$117</c:f>
              <c:numCache>
                <c:formatCode>#,##0</c:formatCode>
                <c:ptCount val="22"/>
                <c:pt idx="4">
                  <c:v>531</c:v>
                </c:pt>
                <c:pt idx="5">
                  <c:v>557</c:v>
                </c:pt>
              </c:numCache>
            </c:numRef>
          </c:val>
        </c:ser>
        <c:ser>
          <c:idx val="3"/>
          <c:order val="3"/>
          <c:tx>
            <c:strRef>
              <c:f>'Camp Analysis'!$G$89:$G$91</c:f>
              <c:strCache>
                <c:ptCount val="1"/>
                <c:pt idx="0">
                  <c:v>  - Host Families</c:v>
                </c:pt>
              </c:strCache>
            </c:strRef>
          </c:tx>
          <c:invertIfNegative val="0"/>
          <c:cat>
            <c:multiLvlStrRef>
              <c:f>'Camp Analysis'!$A$92:$A$117</c:f>
              <c:multiLvlStrCache>
                <c:ptCount val="22"/>
                <c:lvl>
                  <c:pt idx="0">
                    <c:v>Ah Lel Kyun</c:v>
                  </c:pt>
                  <c:pt idx="1">
                    <c:v>Ah Lel</c:v>
                  </c:pt>
                  <c:pt idx="2">
                    <c:v>Let Saung Kauk</c:v>
                  </c:pt>
                  <c:pt idx="3">
                    <c:v>Taung Bwe</c:v>
                  </c:pt>
                  <c:pt idx="4">
                    <c:v>Nidin</c:v>
                  </c:pt>
                  <c:pt idx="5">
                    <c:v>Khaung Htoke</c:v>
                  </c:pt>
                  <c:pt idx="6">
                    <c:v>Ah Pauk Wa </c:v>
                  </c:pt>
                  <c:pt idx="7">
                    <c:v>Yun Nyar</c:v>
                  </c:pt>
                  <c:pt idx="8">
                    <c:v>Goke Pi Htaunt</c:v>
                  </c:pt>
                  <c:pt idx="9">
                    <c:v>Shwe Hlaing</c:v>
                  </c:pt>
                  <c:pt idx="10">
                    <c:v>In Bar Yi</c:v>
                  </c:pt>
                  <c:pt idx="11">
                    <c:v>Set Yone Maw</c:v>
                  </c:pt>
                  <c:pt idx="12">
                    <c:v>Paik Thay</c:v>
                  </c:pt>
                  <c:pt idx="13">
                    <c:v>Aung Taing</c:v>
                  </c:pt>
                  <c:pt idx="14">
                    <c:v>San Htoe Tan</c:v>
                  </c:pt>
                  <c:pt idx="15">
                    <c:v>Sam Ba Le</c:v>
                  </c:pt>
                  <c:pt idx="16">
                    <c:v>Tha Dar</c:v>
                  </c:pt>
                  <c:pt idx="17">
                    <c:v>Tha Yet Oak</c:v>
                  </c:pt>
                  <c:pt idx="18">
                    <c:v>Raw Ma Ni Sin Oe</c:v>
                  </c:pt>
                  <c:pt idx="19">
                    <c:v>Thi Kyar</c:v>
                  </c:pt>
                  <c:pt idx="20">
                    <c:v>Pa Rein</c:v>
                  </c:pt>
                  <c:pt idx="21">
                    <c:v>Yai Thei-Muslim</c:v>
                  </c:pt>
                </c:lvl>
                <c:lvl>
                  <c:pt idx="0">
                    <c:v>Kyauktaw</c:v>
                  </c:pt>
                  <c:pt idx="11">
                    <c:v>Minbya</c:v>
                  </c:pt>
                  <c:pt idx="18">
                    <c:v>Mrauk_U</c:v>
                  </c:pt>
                </c:lvl>
              </c:multiLvlStrCache>
            </c:multiLvlStrRef>
          </c:cat>
          <c:val>
            <c:numRef>
              <c:f>'Camp Analysis'!$G$92:$G$117</c:f>
              <c:numCache>
                <c:formatCode>#,##0</c:formatCode>
                <c:ptCount val="22"/>
                <c:pt idx="0">
                  <c:v>84</c:v>
                </c:pt>
                <c:pt idx="1">
                  <c:v>140</c:v>
                </c:pt>
                <c:pt idx="2">
                  <c:v>157</c:v>
                </c:pt>
                <c:pt idx="3">
                  <c:v>414</c:v>
                </c:pt>
                <c:pt idx="6">
                  <c:v>559</c:v>
                </c:pt>
                <c:pt idx="7">
                  <c:v>738</c:v>
                </c:pt>
                <c:pt idx="8">
                  <c:v>802</c:v>
                </c:pt>
                <c:pt idx="9">
                  <c:v>1006</c:v>
                </c:pt>
                <c:pt idx="10">
                  <c:v>1524</c:v>
                </c:pt>
                <c:pt idx="12">
                  <c:v>142</c:v>
                </c:pt>
                <c:pt idx="13">
                  <c:v>444</c:v>
                </c:pt>
                <c:pt idx="14">
                  <c:v>476</c:v>
                </c:pt>
                <c:pt idx="15">
                  <c:v>1377</c:v>
                </c:pt>
                <c:pt idx="16">
                  <c:v>1420</c:v>
                </c:pt>
                <c:pt idx="17">
                  <c:v>1707</c:v>
                </c:pt>
                <c:pt idx="20">
                  <c:v>1265</c:v>
                </c:pt>
                <c:pt idx="21">
                  <c:v>2366</c:v>
                </c:pt>
              </c:numCache>
            </c:numRef>
          </c:val>
        </c:ser>
        <c:dLbls>
          <c:showLegendKey val="0"/>
          <c:showVal val="0"/>
          <c:showCatName val="0"/>
          <c:showSerName val="0"/>
          <c:showPercent val="0"/>
          <c:showBubbleSize val="0"/>
        </c:dLbls>
        <c:gapWidth val="150"/>
        <c:overlap val="100"/>
        <c:axId val="352502016"/>
        <c:axId val="352502408"/>
      </c:barChart>
      <c:catAx>
        <c:axId val="352502016"/>
        <c:scaling>
          <c:orientation val="minMax"/>
        </c:scaling>
        <c:delete val="0"/>
        <c:axPos val="b"/>
        <c:numFmt formatCode="General" sourceLinked="0"/>
        <c:majorTickMark val="out"/>
        <c:minorTickMark val="none"/>
        <c:tickLblPos val="nextTo"/>
        <c:crossAx val="352502408"/>
        <c:crosses val="autoZero"/>
        <c:auto val="1"/>
        <c:lblAlgn val="ctr"/>
        <c:lblOffset val="100"/>
        <c:noMultiLvlLbl val="0"/>
      </c:catAx>
      <c:valAx>
        <c:axId val="352502408"/>
        <c:scaling>
          <c:orientation val="minMax"/>
        </c:scaling>
        <c:delete val="0"/>
        <c:axPos val="l"/>
        <c:majorGridlines/>
        <c:numFmt formatCode="#,##0" sourceLinked="1"/>
        <c:majorTickMark val="out"/>
        <c:minorTickMark val="none"/>
        <c:tickLblPos val="nextTo"/>
        <c:crossAx val="352502016"/>
        <c:crosses val="autoZero"/>
        <c:crossBetween val="between"/>
      </c:valAx>
    </c:plotArea>
    <c:legend>
      <c:legendPos val="r"/>
      <c:layout>
        <c:manualLayout>
          <c:xMode val="edge"/>
          <c:yMode val="edge"/>
          <c:x val="0.74583434765925016"/>
          <c:y val="0.37884134437738243"/>
          <c:w val="0.25263228627391576"/>
          <c:h val="0.24231709729751119"/>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s>
    <c:plotArea>
      <c:layout/>
      <c:barChart>
        <c:barDir val="col"/>
        <c:grouping val="stacked"/>
        <c:varyColors val="0"/>
        <c:ser>
          <c:idx val="0"/>
          <c:order val="0"/>
          <c:tx>
            <c:strRef>
              <c:f>'Camp Analysis'!$C$128:$C$130</c:f>
              <c:strCache>
                <c:ptCount val="1"/>
                <c:pt idx="0">
                  <c:v>Rakhine - Planned Camp</c:v>
                </c:pt>
              </c:strCache>
            </c:strRef>
          </c:tx>
          <c:invertIfNegative val="0"/>
          <c:cat>
            <c:multiLvlStrRef>
              <c:f>'Camp Analysis'!$A$131:$B$158</c:f>
              <c:multiLvlStrCache>
                <c:ptCount val="22"/>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Ah Nauk Pyin</c:v>
                  </c:pt>
                  <c:pt idx="14">
                    <c:v>Nyaung Pin Gyi</c:v>
                  </c:pt>
                  <c:pt idx="15">
                    <c:v>Koe Tan Kauk</c:v>
                  </c:pt>
                  <c:pt idx="16">
                    <c:v>Chein Khar Li</c:v>
                  </c:pt>
                  <c:pt idx="17">
                    <c:v>Ah Htet Nan Yar</c:v>
                  </c:pt>
                  <c:pt idx="18">
                    <c:v>Thin Pone Tan</c:v>
                  </c:pt>
                  <c:pt idx="19">
                    <c:v>Baw Du Pha (IDP in host families)</c:v>
                  </c:pt>
                  <c:pt idx="20">
                    <c:v>Thet Kae Pyin (IDPs in host family)</c:v>
                  </c:pt>
                  <c:pt idx="21">
                    <c:v>Dar Pai (IDP in host families)</c:v>
                  </c:pt>
                </c:lvl>
                <c:lvl>
                  <c:pt idx="0">
                    <c:v>Kyauk_Phyu</c:v>
                  </c:pt>
                  <c:pt idx="2">
                    <c:v>Maungdaw</c:v>
                  </c:pt>
                  <c:pt idx="11">
                    <c:v>Ramree</c:v>
                  </c:pt>
                  <c:pt idx="13">
                    <c:v>Rathedaung</c:v>
                  </c:pt>
                  <c:pt idx="18">
                    <c:v>Sittwe</c:v>
                  </c:pt>
                </c:lvl>
              </c:multiLvlStrCache>
            </c:multiLvlStrRef>
          </c:cat>
          <c:val>
            <c:numRef>
              <c:f>'Camp Analysis'!$C$131:$C$158</c:f>
              <c:numCache>
                <c:formatCode>#,##0</c:formatCode>
                <c:ptCount val="22"/>
                <c:pt idx="0">
                  <c:v>327</c:v>
                </c:pt>
              </c:numCache>
            </c:numRef>
          </c:val>
        </c:ser>
        <c:ser>
          <c:idx val="1"/>
          <c:order val="1"/>
          <c:tx>
            <c:strRef>
              <c:f>'Camp Analysis'!$D$128:$D$130</c:f>
              <c:strCache>
                <c:ptCount val="1"/>
                <c:pt idx="0">
                  <c:v>Rakhine - Self Settled Camp</c:v>
                </c:pt>
              </c:strCache>
            </c:strRef>
          </c:tx>
          <c:invertIfNegative val="0"/>
          <c:cat>
            <c:multiLvlStrRef>
              <c:f>'Camp Analysis'!$A$131:$B$158</c:f>
              <c:multiLvlStrCache>
                <c:ptCount val="22"/>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Ah Nauk Pyin</c:v>
                  </c:pt>
                  <c:pt idx="14">
                    <c:v>Nyaung Pin Gyi</c:v>
                  </c:pt>
                  <c:pt idx="15">
                    <c:v>Koe Tan Kauk</c:v>
                  </c:pt>
                  <c:pt idx="16">
                    <c:v>Chein Khar Li</c:v>
                  </c:pt>
                  <c:pt idx="17">
                    <c:v>Ah Htet Nan Yar</c:v>
                  </c:pt>
                  <c:pt idx="18">
                    <c:v>Thin Pone Tan</c:v>
                  </c:pt>
                  <c:pt idx="19">
                    <c:v>Baw Du Pha (IDP in host families)</c:v>
                  </c:pt>
                  <c:pt idx="20">
                    <c:v>Thet Kae Pyin (IDPs in host family)</c:v>
                  </c:pt>
                  <c:pt idx="21">
                    <c:v>Dar Pai (IDP in host families)</c:v>
                  </c:pt>
                </c:lvl>
                <c:lvl>
                  <c:pt idx="0">
                    <c:v>Kyauk_Phyu</c:v>
                  </c:pt>
                  <c:pt idx="2">
                    <c:v>Maungdaw</c:v>
                  </c:pt>
                  <c:pt idx="11">
                    <c:v>Ramree</c:v>
                  </c:pt>
                  <c:pt idx="13">
                    <c:v>Rathedaung</c:v>
                  </c:pt>
                  <c:pt idx="18">
                    <c:v>Sittwe</c:v>
                  </c:pt>
                </c:lvl>
              </c:multiLvlStrCache>
            </c:multiLvlStrRef>
          </c:cat>
          <c:val>
            <c:numRef>
              <c:f>'Camp Analysis'!$D$131:$D$158</c:f>
              <c:numCache>
                <c:formatCode>#,##0</c:formatCode>
                <c:ptCount val="22"/>
                <c:pt idx="11">
                  <c:v>77</c:v>
                </c:pt>
              </c:numCache>
            </c:numRef>
          </c:val>
        </c:ser>
        <c:ser>
          <c:idx val="2"/>
          <c:order val="2"/>
          <c:tx>
            <c:strRef>
              <c:f>'Camp Analysis'!$E$128:$E$130</c:f>
              <c:strCache>
                <c:ptCount val="1"/>
                <c:pt idx="0">
                  <c:v>Rakhine - Host Families</c:v>
                </c:pt>
              </c:strCache>
            </c:strRef>
          </c:tx>
          <c:invertIfNegative val="0"/>
          <c:cat>
            <c:multiLvlStrRef>
              <c:f>'Camp Analysis'!$A$131:$B$158</c:f>
              <c:multiLvlStrCache>
                <c:ptCount val="22"/>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Ah Nauk Pyin</c:v>
                  </c:pt>
                  <c:pt idx="14">
                    <c:v>Nyaung Pin Gyi</c:v>
                  </c:pt>
                  <c:pt idx="15">
                    <c:v>Koe Tan Kauk</c:v>
                  </c:pt>
                  <c:pt idx="16">
                    <c:v>Chein Khar Li</c:v>
                  </c:pt>
                  <c:pt idx="17">
                    <c:v>Ah Htet Nan Yar</c:v>
                  </c:pt>
                  <c:pt idx="18">
                    <c:v>Thin Pone Tan</c:v>
                  </c:pt>
                  <c:pt idx="19">
                    <c:v>Baw Du Pha (IDP in host families)</c:v>
                  </c:pt>
                  <c:pt idx="20">
                    <c:v>Thet Kae Pyin (IDPs in host family)</c:v>
                  </c:pt>
                  <c:pt idx="21">
                    <c:v>Dar Pai (IDP in host families)</c:v>
                  </c:pt>
                </c:lvl>
                <c:lvl>
                  <c:pt idx="0">
                    <c:v>Kyauk_Phyu</c:v>
                  </c:pt>
                  <c:pt idx="2">
                    <c:v>Maungdaw</c:v>
                  </c:pt>
                  <c:pt idx="11">
                    <c:v>Ramree</c:v>
                  </c:pt>
                  <c:pt idx="13">
                    <c:v>Rathedaung</c:v>
                  </c:pt>
                  <c:pt idx="18">
                    <c:v>Sittwe</c:v>
                  </c:pt>
                </c:lvl>
              </c:multiLvlStrCache>
            </c:multiLvlStrRef>
          </c:cat>
          <c:val>
            <c:numRef>
              <c:f>'Camp Analysis'!$E$131:$E$158</c:f>
              <c:numCache>
                <c:formatCode>#,##0</c:formatCode>
                <c:ptCount val="22"/>
                <c:pt idx="18">
                  <c:v>27</c:v>
                </c:pt>
              </c:numCache>
            </c:numRef>
          </c:val>
        </c:ser>
        <c:ser>
          <c:idx val="3"/>
          <c:order val="3"/>
          <c:tx>
            <c:strRef>
              <c:f>'Camp Analysis'!$G$128:$G$130</c:f>
              <c:strCache>
                <c:ptCount val="1"/>
                <c:pt idx="0">
                  <c:v>  - Planned Camp</c:v>
                </c:pt>
              </c:strCache>
            </c:strRef>
          </c:tx>
          <c:invertIfNegative val="0"/>
          <c:cat>
            <c:multiLvlStrRef>
              <c:f>'Camp Analysis'!$A$131:$B$158</c:f>
              <c:multiLvlStrCache>
                <c:ptCount val="22"/>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Ah Nauk Pyin</c:v>
                  </c:pt>
                  <c:pt idx="14">
                    <c:v>Nyaung Pin Gyi</c:v>
                  </c:pt>
                  <c:pt idx="15">
                    <c:v>Koe Tan Kauk</c:v>
                  </c:pt>
                  <c:pt idx="16">
                    <c:v>Chein Khar Li</c:v>
                  </c:pt>
                  <c:pt idx="17">
                    <c:v>Ah Htet Nan Yar</c:v>
                  </c:pt>
                  <c:pt idx="18">
                    <c:v>Thin Pone Tan</c:v>
                  </c:pt>
                  <c:pt idx="19">
                    <c:v>Baw Du Pha (IDP in host families)</c:v>
                  </c:pt>
                  <c:pt idx="20">
                    <c:v>Thet Kae Pyin (IDPs in host family)</c:v>
                  </c:pt>
                  <c:pt idx="21">
                    <c:v>Dar Pai (IDP in host families)</c:v>
                  </c:pt>
                </c:lvl>
                <c:lvl>
                  <c:pt idx="0">
                    <c:v>Kyauk_Phyu</c:v>
                  </c:pt>
                  <c:pt idx="2">
                    <c:v>Maungdaw</c:v>
                  </c:pt>
                  <c:pt idx="11">
                    <c:v>Ramree</c:v>
                  </c:pt>
                  <c:pt idx="13">
                    <c:v>Rathedaung</c:v>
                  </c:pt>
                  <c:pt idx="18">
                    <c:v>Sittwe</c:v>
                  </c:pt>
                </c:lvl>
              </c:multiLvlStrCache>
            </c:multiLvlStrRef>
          </c:cat>
          <c:val>
            <c:numRef>
              <c:f>'Camp Analysis'!$G$131:$G$158</c:f>
              <c:numCache>
                <c:formatCode>#,##0</c:formatCode>
                <c:ptCount val="22"/>
                <c:pt idx="1">
                  <c:v>1274</c:v>
                </c:pt>
                <c:pt idx="12">
                  <c:v>187</c:v>
                </c:pt>
                <c:pt idx="13">
                  <c:v>157</c:v>
                </c:pt>
                <c:pt idx="14">
                  <c:v>332</c:v>
                </c:pt>
                <c:pt idx="15">
                  <c:v>961</c:v>
                </c:pt>
                <c:pt idx="16">
                  <c:v>1297</c:v>
                </c:pt>
              </c:numCache>
            </c:numRef>
          </c:val>
        </c:ser>
        <c:ser>
          <c:idx val="4"/>
          <c:order val="4"/>
          <c:tx>
            <c:strRef>
              <c:f>'Camp Analysis'!$H$128:$H$130</c:f>
              <c:strCache>
                <c:ptCount val="1"/>
                <c:pt idx="0">
                  <c:v>  - Self Settled Camp</c:v>
                </c:pt>
              </c:strCache>
            </c:strRef>
          </c:tx>
          <c:invertIfNegative val="0"/>
          <c:cat>
            <c:multiLvlStrRef>
              <c:f>'Camp Analysis'!$A$131:$B$158</c:f>
              <c:multiLvlStrCache>
                <c:ptCount val="22"/>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Ah Nauk Pyin</c:v>
                  </c:pt>
                  <c:pt idx="14">
                    <c:v>Nyaung Pin Gyi</c:v>
                  </c:pt>
                  <c:pt idx="15">
                    <c:v>Koe Tan Kauk</c:v>
                  </c:pt>
                  <c:pt idx="16">
                    <c:v>Chein Khar Li</c:v>
                  </c:pt>
                  <c:pt idx="17">
                    <c:v>Ah Htet Nan Yar</c:v>
                  </c:pt>
                  <c:pt idx="18">
                    <c:v>Thin Pone Tan</c:v>
                  </c:pt>
                  <c:pt idx="19">
                    <c:v>Baw Du Pha (IDP in host families)</c:v>
                  </c:pt>
                  <c:pt idx="20">
                    <c:v>Thet Kae Pyin (IDPs in host family)</c:v>
                  </c:pt>
                  <c:pt idx="21">
                    <c:v>Dar Pai (IDP in host families)</c:v>
                  </c:pt>
                </c:lvl>
                <c:lvl>
                  <c:pt idx="0">
                    <c:v>Kyauk_Phyu</c:v>
                  </c:pt>
                  <c:pt idx="2">
                    <c:v>Maungdaw</c:v>
                  </c:pt>
                  <c:pt idx="11">
                    <c:v>Ramree</c:v>
                  </c:pt>
                  <c:pt idx="13">
                    <c:v>Rathedaung</c:v>
                  </c:pt>
                  <c:pt idx="18">
                    <c:v>Sittwe</c:v>
                  </c:pt>
                </c:lvl>
              </c:multiLvlStrCache>
            </c:multiLvlStrRef>
          </c:cat>
          <c:val>
            <c:numRef>
              <c:f>'Camp Analysis'!$H$131:$H$158</c:f>
              <c:numCache>
                <c:formatCode>#,##0</c:formatCode>
                <c:ptCount val="22"/>
                <c:pt idx="2">
                  <c:v>35</c:v>
                </c:pt>
                <c:pt idx="3">
                  <c:v>37</c:v>
                </c:pt>
                <c:pt idx="4">
                  <c:v>38</c:v>
                </c:pt>
                <c:pt idx="5">
                  <c:v>59</c:v>
                </c:pt>
                <c:pt idx="6">
                  <c:v>102</c:v>
                </c:pt>
                <c:pt idx="7">
                  <c:v>110</c:v>
                </c:pt>
                <c:pt idx="8">
                  <c:v>289</c:v>
                </c:pt>
                <c:pt idx="9">
                  <c:v>338</c:v>
                </c:pt>
                <c:pt idx="10">
                  <c:v>392</c:v>
                </c:pt>
                <c:pt idx="17">
                  <c:v>1308</c:v>
                </c:pt>
              </c:numCache>
            </c:numRef>
          </c:val>
        </c:ser>
        <c:ser>
          <c:idx val="5"/>
          <c:order val="5"/>
          <c:tx>
            <c:strRef>
              <c:f>'Camp Analysis'!$I$128:$I$130</c:f>
              <c:strCache>
                <c:ptCount val="1"/>
                <c:pt idx="0">
                  <c:v>  - Host Families</c:v>
                </c:pt>
              </c:strCache>
            </c:strRef>
          </c:tx>
          <c:invertIfNegative val="0"/>
          <c:cat>
            <c:multiLvlStrRef>
              <c:f>'Camp Analysis'!$A$131:$B$158</c:f>
              <c:multiLvlStrCache>
                <c:ptCount val="22"/>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Ah Nauk Pyin</c:v>
                  </c:pt>
                  <c:pt idx="14">
                    <c:v>Nyaung Pin Gyi</c:v>
                  </c:pt>
                  <c:pt idx="15">
                    <c:v>Koe Tan Kauk</c:v>
                  </c:pt>
                  <c:pt idx="16">
                    <c:v>Chein Khar Li</c:v>
                  </c:pt>
                  <c:pt idx="17">
                    <c:v>Ah Htet Nan Yar</c:v>
                  </c:pt>
                  <c:pt idx="18">
                    <c:v>Thin Pone Tan</c:v>
                  </c:pt>
                  <c:pt idx="19">
                    <c:v>Baw Du Pha (IDP in host families)</c:v>
                  </c:pt>
                  <c:pt idx="20">
                    <c:v>Thet Kae Pyin (IDPs in host family)</c:v>
                  </c:pt>
                  <c:pt idx="21">
                    <c:v>Dar Pai (IDP in host families)</c:v>
                  </c:pt>
                </c:lvl>
                <c:lvl>
                  <c:pt idx="0">
                    <c:v>Kyauk_Phyu</c:v>
                  </c:pt>
                  <c:pt idx="2">
                    <c:v>Maungdaw</c:v>
                  </c:pt>
                  <c:pt idx="11">
                    <c:v>Ramree</c:v>
                  </c:pt>
                  <c:pt idx="13">
                    <c:v>Rathedaung</c:v>
                  </c:pt>
                  <c:pt idx="18">
                    <c:v>Sittwe</c:v>
                  </c:pt>
                </c:lvl>
              </c:multiLvlStrCache>
            </c:multiLvlStrRef>
          </c:cat>
          <c:val>
            <c:numRef>
              <c:f>'Camp Analysis'!$I$131:$I$158</c:f>
              <c:numCache>
                <c:formatCode>#,##0</c:formatCode>
                <c:ptCount val="22"/>
                <c:pt idx="19">
                  <c:v>226</c:v>
                </c:pt>
                <c:pt idx="20">
                  <c:v>2942</c:v>
                </c:pt>
                <c:pt idx="21">
                  <c:v>2951</c:v>
                </c:pt>
              </c:numCache>
            </c:numRef>
          </c:val>
        </c:ser>
        <c:dLbls>
          <c:showLegendKey val="0"/>
          <c:showVal val="0"/>
          <c:showCatName val="0"/>
          <c:showSerName val="0"/>
          <c:showPercent val="0"/>
          <c:showBubbleSize val="0"/>
        </c:dLbls>
        <c:gapWidth val="150"/>
        <c:overlap val="100"/>
        <c:axId val="352503192"/>
        <c:axId val="352503584"/>
      </c:barChart>
      <c:catAx>
        <c:axId val="352503192"/>
        <c:scaling>
          <c:orientation val="minMax"/>
        </c:scaling>
        <c:delete val="0"/>
        <c:axPos val="b"/>
        <c:numFmt formatCode="General" sourceLinked="0"/>
        <c:majorTickMark val="out"/>
        <c:minorTickMark val="none"/>
        <c:tickLblPos val="nextTo"/>
        <c:crossAx val="352503584"/>
        <c:crosses val="autoZero"/>
        <c:auto val="1"/>
        <c:lblAlgn val="ctr"/>
        <c:lblOffset val="100"/>
        <c:noMultiLvlLbl val="0"/>
      </c:catAx>
      <c:valAx>
        <c:axId val="352503584"/>
        <c:scaling>
          <c:orientation val="minMax"/>
        </c:scaling>
        <c:delete val="0"/>
        <c:axPos val="l"/>
        <c:majorGridlines/>
        <c:numFmt formatCode="#,##0" sourceLinked="1"/>
        <c:majorTickMark val="out"/>
        <c:minorTickMark val="none"/>
        <c:tickLblPos val="nextTo"/>
        <c:crossAx val="352503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s>
    <c:plotArea>
      <c:layout>
        <c:manualLayout>
          <c:layoutTarget val="inner"/>
          <c:xMode val="edge"/>
          <c:yMode val="edge"/>
          <c:x val="6.5496796008607028E-2"/>
          <c:y val="4.5583919844414351E-2"/>
          <c:w val="0.76822716417204606"/>
          <c:h val="0.61829825411950889"/>
        </c:manualLayout>
      </c:layout>
      <c:barChart>
        <c:barDir val="col"/>
        <c:grouping val="stacked"/>
        <c:varyColors val="0"/>
        <c:ser>
          <c:idx val="0"/>
          <c:order val="0"/>
          <c:tx>
            <c:strRef>
              <c:f>'Camp Analysis'!$B$51:$B$52</c:f>
              <c:strCache>
                <c:ptCount val="1"/>
                <c:pt idx="0">
                  <c:v>Rakhine-Buddhist</c:v>
                </c:pt>
              </c:strCache>
            </c:strRef>
          </c:tx>
          <c:invertIfNegative val="0"/>
          <c:cat>
            <c:multiLvlStrRef>
              <c:f>'Camp Analysis'!$A$53:$A$79</c:f>
              <c:multiLvlStrCache>
                <c:ptCount val="23"/>
                <c:lvl>
                  <c:pt idx="0">
                    <c:v>Ah Nauk Ywe</c:v>
                  </c:pt>
                  <c:pt idx="1">
                    <c:v>Ba Wan Chaung Wa Su</c:v>
                  </c:pt>
                  <c:pt idx="2">
                    <c:v>Kyein Ni Pyin</c:v>
                  </c:pt>
                  <c:pt idx="3">
                    <c:v>Nget Chaung</c:v>
                  </c:pt>
                  <c:pt idx="4">
                    <c:v>Sin Tet Maw</c:v>
                  </c:pt>
                  <c:pt idx="5">
                    <c:v>Basare</c:v>
                  </c:pt>
                  <c:pt idx="6">
                    <c:v>Baw Du Pha 1</c:v>
                  </c:pt>
                  <c:pt idx="7">
                    <c:v>Baw Du Pha 2</c:v>
                  </c:pt>
                  <c:pt idx="8">
                    <c:v>Dar Pai</c:v>
                  </c:pt>
                  <c:pt idx="9">
                    <c:v>Khaung Doke Khar </c:v>
                  </c:pt>
                  <c:pt idx="10">
                    <c:v>Maw Ti Ngar</c:v>
                  </c:pt>
                  <c:pt idx="11">
                    <c:v>Ohn Taw Chay</c:v>
                  </c:pt>
                  <c:pt idx="12">
                    <c:v>Ohn Taw Gyi (North)</c:v>
                  </c:pt>
                  <c:pt idx="13">
                    <c:v>Ohn Taw Gyi (South)</c:v>
                  </c:pt>
                  <c:pt idx="14">
                    <c:v>Sat Roe Kya 1</c:v>
                  </c:pt>
                  <c:pt idx="15">
                    <c:v>Sat Roe Kya 2</c:v>
                  </c:pt>
                  <c:pt idx="16">
                    <c:v>Say Tha Mar Gyi</c:v>
                  </c:pt>
                  <c:pt idx="17">
                    <c:v>Set Yone Su</c:v>
                  </c:pt>
                  <c:pt idx="18">
                    <c:v>Set Yone Su 3</c:v>
                  </c:pt>
                  <c:pt idx="19">
                    <c:v>Thae Chaung</c:v>
                  </c:pt>
                  <c:pt idx="20">
                    <c:v>Thet Kae Pyin </c:v>
                  </c:pt>
                  <c:pt idx="21">
                    <c:v>Kan Thar Htwat Wa</c:v>
                  </c:pt>
                  <c:pt idx="22">
                    <c:v>Taung Paw </c:v>
                  </c:pt>
                </c:lvl>
                <c:lvl>
                  <c:pt idx="0">
                    <c:v>Pauktaw</c:v>
                  </c:pt>
                  <c:pt idx="5">
                    <c:v>Sittwe</c:v>
                  </c:pt>
                  <c:pt idx="21">
                    <c:v>Myebon</c:v>
                  </c:pt>
                </c:lvl>
              </c:multiLvlStrCache>
            </c:multiLvlStrRef>
          </c:cat>
          <c:val>
            <c:numRef>
              <c:f>'Camp Analysis'!$B$53:$B$79</c:f>
              <c:numCache>
                <c:formatCode>#,##0</c:formatCode>
                <c:ptCount val="23"/>
                <c:pt idx="1">
                  <c:v>122</c:v>
                </c:pt>
                <c:pt idx="14">
                  <c:v>1282</c:v>
                </c:pt>
                <c:pt idx="15">
                  <c:v>2200</c:v>
                </c:pt>
                <c:pt idx="18">
                  <c:v>640</c:v>
                </c:pt>
                <c:pt idx="21">
                  <c:v>198</c:v>
                </c:pt>
              </c:numCache>
            </c:numRef>
          </c:val>
        </c:ser>
        <c:ser>
          <c:idx val="1"/>
          <c:order val="1"/>
          <c:tx>
            <c:strRef>
              <c:f>'Camp Analysis'!$C$51:$C$52</c:f>
              <c:strCache>
                <c:ptCount val="1"/>
                <c:pt idx="0">
                  <c:v>Kaman-Muslim</c:v>
                </c:pt>
              </c:strCache>
            </c:strRef>
          </c:tx>
          <c:invertIfNegative val="0"/>
          <c:cat>
            <c:multiLvlStrRef>
              <c:f>'Camp Analysis'!$A$53:$A$79</c:f>
              <c:multiLvlStrCache>
                <c:ptCount val="23"/>
                <c:lvl>
                  <c:pt idx="0">
                    <c:v>Ah Nauk Ywe</c:v>
                  </c:pt>
                  <c:pt idx="1">
                    <c:v>Ba Wan Chaung Wa Su</c:v>
                  </c:pt>
                  <c:pt idx="2">
                    <c:v>Kyein Ni Pyin</c:v>
                  </c:pt>
                  <c:pt idx="3">
                    <c:v>Nget Chaung</c:v>
                  </c:pt>
                  <c:pt idx="4">
                    <c:v>Sin Tet Maw</c:v>
                  </c:pt>
                  <c:pt idx="5">
                    <c:v>Basare</c:v>
                  </c:pt>
                  <c:pt idx="6">
                    <c:v>Baw Du Pha 1</c:v>
                  </c:pt>
                  <c:pt idx="7">
                    <c:v>Baw Du Pha 2</c:v>
                  </c:pt>
                  <c:pt idx="8">
                    <c:v>Dar Pai</c:v>
                  </c:pt>
                  <c:pt idx="9">
                    <c:v>Khaung Doke Khar </c:v>
                  </c:pt>
                  <c:pt idx="10">
                    <c:v>Maw Ti Ngar</c:v>
                  </c:pt>
                  <c:pt idx="11">
                    <c:v>Ohn Taw Chay</c:v>
                  </c:pt>
                  <c:pt idx="12">
                    <c:v>Ohn Taw Gyi (North)</c:v>
                  </c:pt>
                  <c:pt idx="13">
                    <c:v>Ohn Taw Gyi (South)</c:v>
                  </c:pt>
                  <c:pt idx="14">
                    <c:v>Sat Roe Kya 1</c:v>
                  </c:pt>
                  <c:pt idx="15">
                    <c:v>Sat Roe Kya 2</c:v>
                  </c:pt>
                  <c:pt idx="16">
                    <c:v>Say Tha Mar Gyi</c:v>
                  </c:pt>
                  <c:pt idx="17">
                    <c:v>Set Yone Su</c:v>
                  </c:pt>
                  <c:pt idx="18">
                    <c:v>Set Yone Su 3</c:v>
                  </c:pt>
                  <c:pt idx="19">
                    <c:v>Thae Chaung</c:v>
                  </c:pt>
                  <c:pt idx="20">
                    <c:v>Thet Kae Pyin </c:v>
                  </c:pt>
                  <c:pt idx="21">
                    <c:v>Kan Thar Htwat Wa</c:v>
                  </c:pt>
                  <c:pt idx="22">
                    <c:v>Taung Paw </c:v>
                  </c:pt>
                </c:lvl>
                <c:lvl>
                  <c:pt idx="0">
                    <c:v>Pauktaw</c:v>
                  </c:pt>
                  <c:pt idx="5">
                    <c:v>Sittwe</c:v>
                  </c:pt>
                  <c:pt idx="21">
                    <c:v>Myebon</c:v>
                  </c:pt>
                </c:lvl>
              </c:multiLvlStrCache>
            </c:multiLvlStrRef>
          </c:cat>
          <c:val>
            <c:numRef>
              <c:f>'Camp Analysis'!$C$53:$C$79</c:f>
              <c:numCache>
                <c:formatCode>#,##0</c:formatCode>
                <c:ptCount val="23"/>
                <c:pt idx="4">
                  <c:v>2668</c:v>
                </c:pt>
              </c:numCache>
            </c:numRef>
          </c:val>
        </c:ser>
        <c:ser>
          <c:idx val="2"/>
          <c:order val="2"/>
          <c:tx>
            <c:strRef>
              <c:f>'Camp Analysis'!$D$51:$D$52</c:f>
              <c:strCache>
                <c:ptCount val="1"/>
                <c:pt idx="0">
                  <c:v> -Muslim</c:v>
                </c:pt>
              </c:strCache>
            </c:strRef>
          </c:tx>
          <c:invertIfNegative val="0"/>
          <c:cat>
            <c:multiLvlStrRef>
              <c:f>'Camp Analysis'!$A$53:$A$79</c:f>
              <c:multiLvlStrCache>
                <c:ptCount val="23"/>
                <c:lvl>
                  <c:pt idx="0">
                    <c:v>Ah Nauk Ywe</c:v>
                  </c:pt>
                  <c:pt idx="1">
                    <c:v>Ba Wan Chaung Wa Su</c:v>
                  </c:pt>
                  <c:pt idx="2">
                    <c:v>Kyein Ni Pyin</c:v>
                  </c:pt>
                  <c:pt idx="3">
                    <c:v>Nget Chaung</c:v>
                  </c:pt>
                  <c:pt idx="4">
                    <c:v>Sin Tet Maw</c:v>
                  </c:pt>
                  <c:pt idx="5">
                    <c:v>Basare</c:v>
                  </c:pt>
                  <c:pt idx="6">
                    <c:v>Baw Du Pha 1</c:v>
                  </c:pt>
                  <c:pt idx="7">
                    <c:v>Baw Du Pha 2</c:v>
                  </c:pt>
                  <c:pt idx="8">
                    <c:v>Dar Pai</c:v>
                  </c:pt>
                  <c:pt idx="9">
                    <c:v>Khaung Doke Khar </c:v>
                  </c:pt>
                  <c:pt idx="10">
                    <c:v>Maw Ti Ngar</c:v>
                  </c:pt>
                  <c:pt idx="11">
                    <c:v>Ohn Taw Chay</c:v>
                  </c:pt>
                  <c:pt idx="12">
                    <c:v>Ohn Taw Gyi (North)</c:v>
                  </c:pt>
                  <c:pt idx="13">
                    <c:v>Ohn Taw Gyi (South)</c:v>
                  </c:pt>
                  <c:pt idx="14">
                    <c:v>Sat Roe Kya 1</c:v>
                  </c:pt>
                  <c:pt idx="15">
                    <c:v>Sat Roe Kya 2</c:v>
                  </c:pt>
                  <c:pt idx="16">
                    <c:v>Say Tha Mar Gyi</c:v>
                  </c:pt>
                  <c:pt idx="17">
                    <c:v>Set Yone Su</c:v>
                  </c:pt>
                  <c:pt idx="18">
                    <c:v>Set Yone Su 3</c:v>
                  </c:pt>
                  <c:pt idx="19">
                    <c:v>Thae Chaung</c:v>
                  </c:pt>
                  <c:pt idx="20">
                    <c:v>Thet Kae Pyin </c:v>
                  </c:pt>
                  <c:pt idx="21">
                    <c:v>Kan Thar Htwat Wa</c:v>
                  </c:pt>
                  <c:pt idx="22">
                    <c:v>Taung Paw </c:v>
                  </c:pt>
                </c:lvl>
                <c:lvl>
                  <c:pt idx="0">
                    <c:v>Pauktaw</c:v>
                  </c:pt>
                  <c:pt idx="5">
                    <c:v>Sittwe</c:v>
                  </c:pt>
                  <c:pt idx="21">
                    <c:v>Myebon</c:v>
                  </c:pt>
                </c:lvl>
              </c:multiLvlStrCache>
            </c:multiLvlStrRef>
          </c:cat>
          <c:val>
            <c:numRef>
              <c:f>'Camp Analysis'!$D$53:$D$79</c:f>
              <c:numCache>
                <c:formatCode>#,##0</c:formatCode>
                <c:ptCount val="23"/>
                <c:pt idx="0">
                  <c:v>4218</c:v>
                </c:pt>
                <c:pt idx="2">
                  <c:v>5060</c:v>
                </c:pt>
                <c:pt idx="3">
                  <c:v>7477</c:v>
                </c:pt>
                <c:pt idx="5">
                  <c:v>2049</c:v>
                </c:pt>
                <c:pt idx="6">
                  <c:v>4851</c:v>
                </c:pt>
                <c:pt idx="7">
                  <c:v>6917</c:v>
                </c:pt>
                <c:pt idx="8">
                  <c:v>8189</c:v>
                </c:pt>
                <c:pt idx="9">
                  <c:v>4354</c:v>
                </c:pt>
                <c:pt idx="10">
                  <c:v>3352</c:v>
                </c:pt>
                <c:pt idx="11">
                  <c:v>3389</c:v>
                </c:pt>
                <c:pt idx="12">
                  <c:v>13655</c:v>
                </c:pt>
                <c:pt idx="13">
                  <c:v>12225</c:v>
                </c:pt>
                <c:pt idx="16">
                  <c:v>12178</c:v>
                </c:pt>
                <c:pt idx="19">
                  <c:v>11663</c:v>
                </c:pt>
                <c:pt idx="20">
                  <c:v>5656</c:v>
                </c:pt>
                <c:pt idx="22">
                  <c:v>2815</c:v>
                </c:pt>
              </c:numCache>
            </c:numRef>
          </c:val>
        </c:ser>
        <c:ser>
          <c:idx val="3"/>
          <c:order val="3"/>
          <c:tx>
            <c:strRef>
              <c:f>'Camp Analysis'!$E$51:$E$52</c:f>
              <c:strCache>
                <c:ptCount val="1"/>
                <c:pt idx="0">
                  <c:v>Maramargyi-Buddhist</c:v>
                </c:pt>
              </c:strCache>
            </c:strRef>
          </c:tx>
          <c:invertIfNegative val="0"/>
          <c:cat>
            <c:multiLvlStrRef>
              <c:f>'Camp Analysis'!$A$53:$A$79</c:f>
              <c:multiLvlStrCache>
                <c:ptCount val="23"/>
                <c:lvl>
                  <c:pt idx="0">
                    <c:v>Ah Nauk Ywe</c:v>
                  </c:pt>
                  <c:pt idx="1">
                    <c:v>Ba Wan Chaung Wa Su</c:v>
                  </c:pt>
                  <c:pt idx="2">
                    <c:v>Kyein Ni Pyin</c:v>
                  </c:pt>
                  <c:pt idx="3">
                    <c:v>Nget Chaung</c:v>
                  </c:pt>
                  <c:pt idx="4">
                    <c:v>Sin Tet Maw</c:v>
                  </c:pt>
                  <c:pt idx="5">
                    <c:v>Basare</c:v>
                  </c:pt>
                  <c:pt idx="6">
                    <c:v>Baw Du Pha 1</c:v>
                  </c:pt>
                  <c:pt idx="7">
                    <c:v>Baw Du Pha 2</c:v>
                  </c:pt>
                  <c:pt idx="8">
                    <c:v>Dar Pai</c:v>
                  </c:pt>
                  <c:pt idx="9">
                    <c:v>Khaung Doke Khar </c:v>
                  </c:pt>
                  <c:pt idx="10">
                    <c:v>Maw Ti Ngar</c:v>
                  </c:pt>
                  <c:pt idx="11">
                    <c:v>Ohn Taw Chay</c:v>
                  </c:pt>
                  <c:pt idx="12">
                    <c:v>Ohn Taw Gyi (North)</c:v>
                  </c:pt>
                  <c:pt idx="13">
                    <c:v>Ohn Taw Gyi (South)</c:v>
                  </c:pt>
                  <c:pt idx="14">
                    <c:v>Sat Roe Kya 1</c:v>
                  </c:pt>
                  <c:pt idx="15">
                    <c:v>Sat Roe Kya 2</c:v>
                  </c:pt>
                  <c:pt idx="16">
                    <c:v>Say Tha Mar Gyi</c:v>
                  </c:pt>
                  <c:pt idx="17">
                    <c:v>Set Yone Su</c:v>
                  </c:pt>
                  <c:pt idx="18">
                    <c:v>Set Yone Su 3</c:v>
                  </c:pt>
                  <c:pt idx="19">
                    <c:v>Thae Chaung</c:v>
                  </c:pt>
                  <c:pt idx="20">
                    <c:v>Thet Kae Pyin </c:v>
                  </c:pt>
                  <c:pt idx="21">
                    <c:v>Kan Thar Htwat Wa</c:v>
                  </c:pt>
                  <c:pt idx="22">
                    <c:v>Taung Paw </c:v>
                  </c:pt>
                </c:lvl>
                <c:lvl>
                  <c:pt idx="0">
                    <c:v>Pauktaw</c:v>
                  </c:pt>
                  <c:pt idx="5">
                    <c:v>Sittwe</c:v>
                  </c:pt>
                  <c:pt idx="21">
                    <c:v>Myebon</c:v>
                  </c:pt>
                </c:lvl>
              </c:multiLvlStrCache>
            </c:multiLvlStrRef>
          </c:cat>
          <c:val>
            <c:numRef>
              <c:f>'Camp Analysis'!$E$53:$E$79</c:f>
              <c:numCache>
                <c:formatCode>#,##0</c:formatCode>
                <c:ptCount val="23"/>
                <c:pt idx="17">
                  <c:v>462</c:v>
                </c:pt>
              </c:numCache>
            </c:numRef>
          </c:val>
        </c:ser>
        <c:dLbls>
          <c:showLegendKey val="0"/>
          <c:showVal val="0"/>
          <c:showCatName val="0"/>
          <c:showSerName val="0"/>
          <c:showPercent val="0"/>
          <c:showBubbleSize val="0"/>
        </c:dLbls>
        <c:gapWidth val="150"/>
        <c:overlap val="100"/>
        <c:axId val="352200416"/>
        <c:axId val="352200808"/>
      </c:barChart>
      <c:catAx>
        <c:axId val="352200416"/>
        <c:scaling>
          <c:orientation val="minMax"/>
        </c:scaling>
        <c:delete val="0"/>
        <c:axPos val="b"/>
        <c:numFmt formatCode="General" sourceLinked="0"/>
        <c:majorTickMark val="out"/>
        <c:minorTickMark val="none"/>
        <c:tickLblPos val="nextTo"/>
        <c:crossAx val="352200808"/>
        <c:crosses val="autoZero"/>
        <c:auto val="1"/>
        <c:lblAlgn val="ctr"/>
        <c:lblOffset val="100"/>
        <c:noMultiLvlLbl val="0"/>
      </c:catAx>
      <c:valAx>
        <c:axId val="352200808"/>
        <c:scaling>
          <c:orientation val="minMax"/>
        </c:scaling>
        <c:delete val="0"/>
        <c:axPos val="l"/>
        <c:majorGridlines/>
        <c:numFmt formatCode="#,##0" sourceLinked="1"/>
        <c:majorTickMark val="out"/>
        <c:minorTickMark val="none"/>
        <c:tickLblPos val="nextTo"/>
        <c:crossAx val="352200416"/>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0"/>
              <a:t># of camps by size of population in Thousands </a:t>
            </a:r>
          </a:p>
        </c:rich>
      </c:tx>
      <c:layout>
        <c:manualLayout>
          <c:xMode val="edge"/>
          <c:yMode val="edge"/>
          <c:x val="0.18620719284343584"/>
          <c:y val="9.2427159029296505E-2"/>
        </c:manualLayout>
      </c:layout>
      <c:overlay val="0"/>
      <c:spPr>
        <a:solidFill>
          <a:schemeClr val="bg1">
            <a:lumMod val="95000"/>
          </a:schemeClr>
        </a:solidFill>
      </c:spPr>
    </c:title>
    <c:autoTitleDeleted val="0"/>
    <c:plotArea>
      <c:layout>
        <c:manualLayout>
          <c:layoutTarget val="inner"/>
          <c:xMode val="edge"/>
          <c:yMode val="edge"/>
          <c:x val="7.7101811099548417E-2"/>
          <c:y val="5.5233061660935279E-2"/>
          <c:w val="0.87439852782524852"/>
          <c:h val="0.69886004771071231"/>
        </c:manualLayout>
      </c:layout>
      <c:barChart>
        <c:barDir val="col"/>
        <c:grouping val="stacked"/>
        <c:varyColors val="0"/>
        <c:ser>
          <c:idx val="0"/>
          <c:order val="0"/>
          <c:tx>
            <c:strRef>
              <c:f>'CCCM Dashboard'!$AL$23</c:f>
              <c:strCache>
                <c:ptCount val="1"/>
                <c:pt idx="0">
                  <c:v>1-1k</c:v>
                </c:pt>
              </c:strCache>
            </c:strRef>
          </c:tx>
          <c:spPr>
            <a:solidFill>
              <a:srgbClr val="FFC000"/>
            </a:solidFill>
          </c:spPr>
          <c:invertIfNegative val="0"/>
          <c:cat>
            <c:strRef>
              <c:f>'CCCM Dashboard'!$AK$25:$AK$33</c:f>
              <c:strCache>
                <c:ptCount val="9"/>
                <c:pt idx="0">
                  <c:v>Kyauktaw</c:v>
                </c:pt>
                <c:pt idx="1">
                  <c:v>Maungdaw</c:v>
                </c:pt>
                <c:pt idx="2">
                  <c:v>Myebon</c:v>
                </c:pt>
                <c:pt idx="3">
                  <c:v>Minbya</c:v>
                </c:pt>
                <c:pt idx="4">
                  <c:v>Mrauk_U</c:v>
                </c:pt>
                <c:pt idx="5">
                  <c:v>Pauktaw</c:v>
                </c:pt>
                <c:pt idx="6">
                  <c:v>Ramree</c:v>
                </c:pt>
                <c:pt idx="7">
                  <c:v>Rathedaung</c:v>
                </c:pt>
                <c:pt idx="8">
                  <c:v>Sittwe</c:v>
                </c:pt>
              </c:strCache>
            </c:strRef>
          </c:cat>
          <c:val>
            <c:numRef>
              <c:f>'CCCM Dashboard'!$AL$25:$AL$33</c:f>
              <c:numCache>
                <c:formatCode>_-* #,##0_-;\-* #,##0_-;_-* "-"??_-;_-@_-</c:formatCode>
                <c:ptCount val="9"/>
                <c:pt idx="0">
                  <c:v>9</c:v>
                </c:pt>
                <c:pt idx="1">
                  <c:v>9</c:v>
                </c:pt>
                <c:pt idx="2">
                  <c:v>1</c:v>
                </c:pt>
                <c:pt idx="3">
                  <c:v>4</c:v>
                </c:pt>
                <c:pt idx="4">
                  <c:v>2</c:v>
                </c:pt>
                <c:pt idx="5">
                  <c:v>1</c:v>
                </c:pt>
                <c:pt idx="6">
                  <c:v>2</c:v>
                </c:pt>
                <c:pt idx="7">
                  <c:v>3</c:v>
                </c:pt>
                <c:pt idx="8">
                  <c:v>4</c:v>
                </c:pt>
              </c:numCache>
            </c:numRef>
          </c:val>
        </c:ser>
        <c:ser>
          <c:idx val="1"/>
          <c:order val="1"/>
          <c:tx>
            <c:strRef>
              <c:f>'CCCM Dashboard'!$AM$23</c:f>
              <c:strCache>
                <c:ptCount val="1"/>
                <c:pt idx="0">
                  <c:v>1k - 5k</c:v>
                </c:pt>
              </c:strCache>
            </c:strRef>
          </c:tx>
          <c:invertIfNegative val="0"/>
          <c:cat>
            <c:strRef>
              <c:f>'CCCM Dashboard'!$AK$25:$AK$33</c:f>
              <c:strCache>
                <c:ptCount val="9"/>
                <c:pt idx="0">
                  <c:v>Kyauktaw</c:v>
                </c:pt>
                <c:pt idx="1">
                  <c:v>Maungdaw</c:v>
                </c:pt>
                <c:pt idx="2">
                  <c:v>Myebon</c:v>
                </c:pt>
                <c:pt idx="3">
                  <c:v>Minbya</c:v>
                </c:pt>
                <c:pt idx="4">
                  <c:v>Mrauk_U</c:v>
                </c:pt>
                <c:pt idx="5">
                  <c:v>Pauktaw</c:v>
                </c:pt>
                <c:pt idx="6">
                  <c:v>Ramree</c:v>
                </c:pt>
                <c:pt idx="7">
                  <c:v>Rathedaung</c:v>
                </c:pt>
                <c:pt idx="8">
                  <c:v>Sittwe</c:v>
                </c:pt>
              </c:strCache>
            </c:strRef>
          </c:cat>
          <c:val>
            <c:numRef>
              <c:f>'CCCM Dashboard'!$AM$25:$AM$33</c:f>
              <c:numCache>
                <c:formatCode>_-* #,##0_-;\-* #,##0_-;_-* "-"??_-;_-@_-</c:formatCode>
                <c:ptCount val="9"/>
                <c:pt idx="0">
                  <c:v>2</c:v>
                </c:pt>
                <c:pt idx="1">
                  <c:v>0</c:v>
                </c:pt>
                <c:pt idx="2">
                  <c:v>1</c:v>
                </c:pt>
                <c:pt idx="3">
                  <c:v>3</c:v>
                </c:pt>
                <c:pt idx="4">
                  <c:v>2</c:v>
                </c:pt>
                <c:pt idx="5">
                  <c:v>2</c:v>
                </c:pt>
                <c:pt idx="6">
                  <c:v>0</c:v>
                </c:pt>
                <c:pt idx="7">
                  <c:v>2</c:v>
                </c:pt>
                <c:pt idx="8">
                  <c:v>9</c:v>
                </c:pt>
              </c:numCache>
            </c:numRef>
          </c:val>
        </c:ser>
        <c:ser>
          <c:idx val="2"/>
          <c:order val="2"/>
          <c:tx>
            <c:strRef>
              <c:f>'CCCM Dashboard'!$AN$23</c:f>
              <c:strCache>
                <c:ptCount val="1"/>
                <c:pt idx="0">
                  <c:v>5k-10k</c:v>
                </c:pt>
              </c:strCache>
            </c:strRef>
          </c:tx>
          <c:invertIfNegative val="0"/>
          <c:cat>
            <c:strRef>
              <c:f>'CCCM Dashboard'!$AK$25:$AK$33</c:f>
              <c:strCache>
                <c:ptCount val="9"/>
                <c:pt idx="0">
                  <c:v>Kyauktaw</c:v>
                </c:pt>
                <c:pt idx="1">
                  <c:v>Maungdaw</c:v>
                </c:pt>
                <c:pt idx="2">
                  <c:v>Myebon</c:v>
                </c:pt>
                <c:pt idx="3">
                  <c:v>Minbya</c:v>
                </c:pt>
                <c:pt idx="4">
                  <c:v>Mrauk_U</c:v>
                </c:pt>
                <c:pt idx="5">
                  <c:v>Pauktaw</c:v>
                </c:pt>
                <c:pt idx="6">
                  <c:v>Ramree</c:v>
                </c:pt>
                <c:pt idx="7">
                  <c:v>Rathedaung</c:v>
                </c:pt>
                <c:pt idx="8">
                  <c:v>Sittwe</c:v>
                </c:pt>
              </c:strCache>
            </c:strRef>
          </c:cat>
          <c:val>
            <c:numRef>
              <c:f>'CCCM Dashboard'!$AN$25:$AN$33</c:f>
              <c:numCache>
                <c:formatCode>_-* #,##0_-;\-* #,##0_-;_-* "-"??_-;_-@_-</c:formatCode>
                <c:ptCount val="9"/>
                <c:pt idx="0">
                  <c:v>0</c:v>
                </c:pt>
                <c:pt idx="1">
                  <c:v>0</c:v>
                </c:pt>
                <c:pt idx="2">
                  <c:v>0</c:v>
                </c:pt>
                <c:pt idx="3">
                  <c:v>0</c:v>
                </c:pt>
                <c:pt idx="4">
                  <c:v>0</c:v>
                </c:pt>
                <c:pt idx="5">
                  <c:v>2</c:v>
                </c:pt>
                <c:pt idx="6">
                  <c:v>0</c:v>
                </c:pt>
                <c:pt idx="7">
                  <c:v>0</c:v>
                </c:pt>
                <c:pt idx="8">
                  <c:v>3</c:v>
                </c:pt>
              </c:numCache>
            </c:numRef>
          </c:val>
        </c:ser>
        <c:ser>
          <c:idx val="3"/>
          <c:order val="3"/>
          <c:tx>
            <c:strRef>
              <c:f>'CCCM Dashboard'!$AO$23</c:f>
              <c:strCache>
                <c:ptCount val="1"/>
                <c:pt idx="0">
                  <c:v>&gt;10k</c:v>
                </c:pt>
              </c:strCache>
            </c:strRef>
          </c:tx>
          <c:invertIfNegative val="0"/>
          <c:cat>
            <c:strRef>
              <c:f>'CCCM Dashboard'!$AK$25:$AK$33</c:f>
              <c:strCache>
                <c:ptCount val="9"/>
                <c:pt idx="0">
                  <c:v>Kyauktaw</c:v>
                </c:pt>
                <c:pt idx="1">
                  <c:v>Maungdaw</c:v>
                </c:pt>
                <c:pt idx="2">
                  <c:v>Myebon</c:v>
                </c:pt>
                <c:pt idx="3">
                  <c:v>Minbya</c:v>
                </c:pt>
                <c:pt idx="4">
                  <c:v>Mrauk_U</c:v>
                </c:pt>
                <c:pt idx="5">
                  <c:v>Pauktaw</c:v>
                </c:pt>
                <c:pt idx="6">
                  <c:v>Ramree</c:v>
                </c:pt>
                <c:pt idx="7">
                  <c:v>Rathedaung</c:v>
                </c:pt>
                <c:pt idx="8">
                  <c:v>Sittwe</c:v>
                </c:pt>
              </c:strCache>
            </c:strRef>
          </c:cat>
          <c:val>
            <c:numRef>
              <c:f>'CCCM Dashboard'!$AO$25:$AO$33</c:f>
              <c:numCache>
                <c:formatCode>_-* #,##0_-;\-* #,##0_-;_-* "-"??_-;_-@_-</c:formatCode>
                <c:ptCount val="9"/>
                <c:pt idx="0">
                  <c:v>0</c:v>
                </c:pt>
                <c:pt idx="1">
                  <c:v>0</c:v>
                </c:pt>
                <c:pt idx="2">
                  <c:v>0</c:v>
                </c:pt>
                <c:pt idx="3">
                  <c:v>0</c:v>
                </c:pt>
                <c:pt idx="4">
                  <c:v>0</c:v>
                </c:pt>
                <c:pt idx="5">
                  <c:v>0</c:v>
                </c:pt>
                <c:pt idx="6">
                  <c:v>0</c:v>
                </c:pt>
                <c:pt idx="7">
                  <c:v>0</c:v>
                </c:pt>
                <c:pt idx="8">
                  <c:v>4</c:v>
                </c:pt>
              </c:numCache>
            </c:numRef>
          </c:val>
        </c:ser>
        <c:ser>
          <c:idx val="4"/>
          <c:order val="4"/>
          <c:tx>
            <c:strRef>
              <c:f>'CCCM Dashboard'!$AP$23</c:f>
              <c:strCache>
                <c:ptCount val="1"/>
                <c:pt idx="0">
                  <c:v>Unknown</c:v>
                </c:pt>
              </c:strCache>
            </c:strRef>
          </c:tx>
          <c:spPr>
            <a:solidFill>
              <a:schemeClr val="tx1"/>
            </a:solidFill>
          </c:spPr>
          <c:invertIfNegative val="0"/>
          <c:cat>
            <c:strRef>
              <c:f>'CCCM Dashboard'!$AK$25:$AK$33</c:f>
              <c:strCache>
                <c:ptCount val="9"/>
                <c:pt idx="0">
                  <c:v>Kyauktaw</c:v>
                </c:pt>
                <c:pt idx="1">
                  <c:v>Maungdaw</c:v>
                </c:pt>
                <c:pt idx="2">
                  <c:v>Myebon</c:v>
                </c:pt>
                <c:pt idx="3">
                  <c:v>Minbya</c:v>
                </c:pt>
                <c:pt idx="4">
                  <c:v>Mrauk_U</c:v>
                </c:pt>
                <c:pt idx="5">
                  <c:v>Pauktaw</c:v>
                </c:pt>
                <c:pt idx="6">
                  <c:v>Ramree</c:v>
                </c:pt>
                <c:pt idx="7">
                  <c:v>Rathedaung</c:v>
                </c:pt>
                <c:pt idx="8">
                  <c:v>Sittwe</c:v>
                </c:pt>
              </c:strCache>
            </c:strRef>
          </c:cat>
          <c:val>
            <c:numRef>
              <c:f>'CCCM Dashboard'!$AP$25:$AP$33</c:f>
              <c:numCache>
                <c:formatCode>_-* #,##0_-;\-* #,##0_-;_-* "-"??_-;_-@_-</c:formatCode>
                <c:ptCount val="9"/>
                <c:pt idx="0">
                  <c:v>0</c:v>
                </c:pt>
                <c:pt idx="1">
                  <c:v>0</c:v>
                </c:pt>
                <c:pt idx="2">
                  <c:v>0</c:v>
                </c:pt>
                <c:pt idx="3">
                  <c:v>0</c:v>
                </c:pt>
                <c:pt idx="4">
                  <c:v>0</c:v>
                </c:pt>
                <c:pt idx="5">
                  <c:v>0</c:v>
                </c:pt>
                <c:pt idx="6">
                  <c:v>0</c:v>
                </c:pt>
                <c:pt idx="7">
                  <c:v>0</c:v>
                </c:pt>
                <c:pt idx="8">
                  <c:v>0</c:v>
                </c:pt>
              </c:numCache>
            </c:numRef>
          </c:val>
        </c:ser>
        <c:dLbls>
          <c:showLegendKey val="0"/>
          <c:showVal val="0"/>
          <c:showCatName val="0"/>
          <c:showSerName val="0"/>
          <c:showPercent val="0"/>
          <c:showBubbleSize val="0"/>
        </c:dLbls>
        <c:gapWidth val="150"/>
        <c:overlap val="100"/>
        <c:axId val="352201984"/>
        <c:axId val="352202376"/>
      </c:barChart>
      <c:catAx>
        <c:axId val="352201984"/>
        <c:scaling>
          <c:orientation val="minMax"/>
        </c:scaling>
        <c:delete val="0"/>
        <c:axPos val="b"/>
        <c:numFmt formatCode="General" sourceLinked="0"/>
        <c:majorTickMark val="out"/>
        <c:minorTickMark val="none"/>
        <c:tickLblPos val="nextTo"/>
        <c:txPr>
          <a:bodyPr/>
          <a:lstStyle/>
          <a:p>
            <a:pPr>
              <a:defRPr sz="900"/>
            </a:pPr>
            <a:endParaRPr lang="en-US"/>
          </a:p>
        </c:txPr>
        <c:crossAx val="352202376"/>
        <c:crosses val="autoZero"/>
        <c:auto val="1"/>
        <c:lblAlgn val="ctr"/>
        <c:lblOffset val="100"/>
        <c:noMultiLvlLbl val="0"/>
      </c:catAx>
      <c:valAx>
        <c:axId val="352202376"/>
        <c:scaling>
          <c:orientation val="minMax"/>
        </c:scaling>
        <c:delete val="0"/>
        <c:axPos val="l"/>
        <c:majorGridlines/>
        <c:numFmt formatCode="_-* #,##0_-;\-* #,##0_-;_-* &quot;-&quot;??_-;_-@_-" sourceLinked="1"/>
        <c:majorTickMark val="out"/>
        <c:minorTickMark val="none"/>
        <c:tickLblPos val="nextTo"/>
        <c:crossAx val="352201984"/>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0"/>
    </mc:Choice>
    <mc:Fallback>
      <c:style val="40"/>
    </mc:Fallback>
  </mc:AlternateContent>
  <c:pivotSource>
    <c:name>[Shelter-NFI-CCCM Rakhine Cluster Analysis Report, 1st December 2015.xlsx]Camp Analysis!PivotTable4</c:name>
    <c:fmtId val="2"/>
  </c:pivotSource>
  <c:chart>
    <c:title>
      <c:tx>
        <c:rich>
          <a:bodyPr/>
          <a:lstStyle/>
          <a:p>
            <a:pPr>
              <a:defRPr sz="1200"/>
            </a:pPr>
            <a:r>
              <a:rPr lang="en-US" sz="1200"/>
              <a:t>Type of Accomodation</a:t>
            </a:r>
            <a:r>
              <a:rPr lang="en-US" sz="1200" baseline="0"/>
              <a:t> </a:t>
            </a:r>
            <a:r>
              <a:rPr lang="en-US" sz="1200"/>
              <a:t>(#IDPs)</a:t>
            </a:r>
          </a:p>
        </c:rich>
      </c:tx>
      <c:layout>
        <c:manualLayout>
          <c:xMode val="edge"/>
          <c:yMode val="edge"/>
          <c:x val="0.21107684268882501"/>
          <c:y val="0"/>
        </c:manualLayout>
      </c:layout>
      <c:overlay val="0"/>
    </c:title>
    <c:autoTitleDeleted val="0"/>
    <c:pivotFmts>
      <c:pivotFmt>
        <c:idx val="0"/>
        <c:dLbl>
          <c:idx val="0"/>
          <c:showLegendKey val="0"/>
          <c:showVal val="0"/>
          <c:showCatName val="0"/>
          <c:showSerName val="0"/>
          <c:showPercent val="1"/>
          <c:showBubbleSize val="0"/>
          <c:extLst>
            <c:ext xmlns:c15="http://schemas.microsoft.com/office/drawing/2012/chart" uri="{CE6537A1-D6FC-4f65-9D91-7224C49458BB}"/>
          </c:extLst>
        </c:dLbl>
      </c:pivotFmt>
      <c:pivotFmt>
        <c:idx val="1"/>
        <c:dLbl>
          <c:idx val="0"/>
          <c:showLegendKey val="0"/>
          <c:showVal val="0"/>
          <c:showCatName val="0"/>
          <c:showSerName val="0"/>
          <c:showPercent val="1"/>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1"/>
          <c:showPercent val="0"/>
          <c:showBubbleSize val="0"/>
          <c:extLst>
            <c:ext xmlns:c15="http://schemas.microsoft.com/office/drawing/2012/chart" uri="{CE6537A1-D6FC-4f65-9D91-7224C49458BB}"/>
          </c:extLst>
        </c:dLbl>
      </c:pivotFmt>
      <c:pivotFmt>
        <c:idx val="4"/>
        <c:dLbl>
          <c:idx val="0"/>
          <c:showLegendKey val="0"/>
          <c:showVal val="1"/>
          <c:showCatName val="0"/>
          <c:showSerName val="1"/>
          <c:showPercent val="0"/>
          <c:showBubbleSize val="0"/>
          <c:extLst>
            <c:ext xmlns:c15="http://schemas.microsoft.com/office/drawing/2012/chart" uri="{CE6537A1-D6FC-4f65-9D91-7224C49458BB}"/>
          </c:extLst>
        </c:dLbl>
      </c:pivotFmt>
      <c:pivotFmt>
        <c:idx val="5"/>
        <c:dLbl>
          <c:idx val="0"/>
          <c:showLegendKey val="0"/>
          <c:showVal val="1"/>
          <c:showCatName val="0"/>
          <c:showSerName val="1"/>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
        <c:idx val="7"/>
        <c:dLbl>
          <c:idx val="0"/>
          <c:delete val="1"/>
          <c:extLst>
            <c:ext xmlns:c15="http://schemas.microsoft.com/office/drawing/2012/chart" uri="{CE6537A1-D6FC-4f65-9D91-7224C49458BB}"/>
          </c:extLst>
        </c:dLbl>
      </c:pivotFmt>
      <c:pivotFmt>
        <c:idx val="8"/>
        <c:dLbl>
          <c:idx val="0"/>
          <c:delete val="1"/>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dLbl>
          <c:idx val="0"/>
          <c:showLegendKey val="0"/>
          <c:showVal val="1"/>
          <c:showCatName val="0"/>
          <c:showSerName val="1"/>
          <c:showPercent val="0"/>
          <c:showBubbleSize val="0"/>
          <c:extLst>
            <c:ext xmlns:c15="http://schemas.microsoft.com/office/drawing/2012/chart" uri="{CE6537A1-D6FC-4f65-9D91-7224C49458BB}"/>
          </c:extLst>
        </c:dLbl>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dLbl>
          <c:idx val="0"/>
          <c:showLegendKey val="0"/>
          <c:showVal val="1"/>
          <c:showCatName val="0"/>
          <c:showSerName val="0"/>
          <c:showPercent val="0"/>
          <c:showBubbleSize val="0"/>
          <c:extLst>
            <c:ext xmlns:c15="http://schemas.microsoft.com/office/drawing/2012/chart" uri="{CE6537A1-D6FC-4f65-9D91-7224C49458BB}"/>
          </c:extLst>
        </c:dLbl>
      </c:pivotFmt>
      <c:pivotFmt>
        <c:idx val="23"/>
        <c:dLbl>
          <c:idx val="0"/>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5"/>
        <c:marker>
          <c:symbol val="none"/>
        </c:marker>
      </c:pivotFmt>
      <c:pivotFmt>
        <c:idx val="26"/>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dLbl>
          <c:idx val="0"/>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9.1722813674897249E-2"/>
          <c:y val="0.17473354273317346"/>
          <c:w val="0.3889673109043188"/>
          <c:h val="0.74845269050952745"/>
        </c:manualLayout>
      </c:layout>
      <c:barChart>
        <c:barDir val="col"/>
        <c:grouping val="stacked"/>
        <c:varyColors val="0"/>
        <c:ser>
          <c:idx val="0"/>
          <c:order val="0"/>
          <c:tx>
            <c:strRef>
              <c:f>'Camp Analysis'!$B$29:$B$30</c:f>
              <c:strCache>
                <c:ptCount val="1"/>
                <c:pt idx="0">
                  <c:v>Camp Management</c:v>
                </c:pt>
              </c:strCache>
            </c:strRef>
          </c:tx>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'Camp Analysis'!$A$31</c:f>
              <c:strCache>
                <c:ptCount val="1"/>
                <c:pt idx="0">
                  <c:v>Total</c:v>
                </c:pt>
              </c:strCache>
            </c:strRef>
          </c:cat>
          <c:val>
            <c:numRef>
              <c:f>'Camp Analysis'!$B$31</c:f>
              <c:numCache>
                <c:formatCode>General</c:formatCode>
                <c:ptCount val="1"/>
                <c:pt idx="0">
                  <c:v>92389</c:v>
                </c:pt>
              </c:numCache>
            </c:numRef>
          </c:val>
        </c:ser>
        <c:ser>
          <c:idx val="1"/>
          <c:order val="1"/>
          <c:tx>
            <c:strRef>
              <c:f>'Camp Analysis'!$C$29:$C$30</c:f>
              <c:strCache>
                <c:ptCount val="1"/>
                <c:pt idx="0">
                  <c:v>Focal Point</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'Camp Analysis'!$A$31</c:f>
              <c:strCache>
                <c:ptCount val="1"/>
                <c:pt idx="0">
                  <c:v>Total</c:v>
                </c:pt>
              </c:strCache>
            </c:strRef>
          </c:cat>
          <c:val>
            <c:numRef>
              <c:f>'Camp Analysis'!$C$31</c:f>
              <c:numCache>
                <c:formatCode>General</c:formatCode>
                <c:ptCount val="1"/>
                <c:pt idx="0">
                  <c:v>52673</c:v>
                </c:pt>
              </c:numCache>
            </c:numRef>
          </c:val>
        </c:ser>
        <c:dLbls>
          <c:showLegendKey val="0"/>
          <c:showVal val="1"/>
          <c:showCatName val="0"/>
          <c:showSerName val="0"/>
          <c:showPercent val="0"/>
          <c:showBubbleSize val="0"/>
        </c:dLbls>
        <c:gapWidth val="55"/>
        <c:overlap val="100"/>
        <c:axId val="352504760"/>
        <c:axId val="352501624"/>
      </c:barChart>
      <c:catAx>
        <c:axId val="352504760"/>
        <c:scaling>
          <c:orientation val="minMax"/>
        </c:scaling>
        <c:delete val="0"/>
        <c:axPos val="b"/>
        <c:numFmt formatCode="General" sourceLinked="0"/>
        <c:majorTickMark val="none"/>
        <c:minorTickMark val="none"/>
        <c:tickLblPos val="nextTo"/>
        <c:crossAx val="352501624"/>
        <c:crosses val="autoZero"/>
        <c:auto val="1"/>
        <c:lblAlgn val="ctr"/>
        <c:lblOffset val="100"/>
        <c:noMultiLvlLbl val="0"/>
      </c:catAx>
      <c:valAx>
        <c:axId val="352501624"/>
        <c:scaling>
          <c:orientation val="minMax"/>
        </c:scaling>
        <c:delete val="0"/>
        <c:axPos val="l"/>
        <c:majorGridlines/>
        <c:numFmt formatCode="General" sourceLinked="1"/>
        <c:majorTickMark val="none"/>
        <c:minorTickMark val="none"/>
        <c:tickLblPos val="nextTo"/>
        <c:txPr>
          <a:bodyPr/>
          <a:lstStyle/>
          <a:p>
            <a:pPr>
              <a:defRPr sz="900"/>
            </a:pPr>
            <a:endParaRPr lang="en-US"/>
          </a:p>
        </c:txPr>
        <c:crossAx val="352504760"/>
        <c:crosses val="autoZero"/>
        <c:crossBetween val="between"/>
      </c:valAx>
    </c:plotArea>
    <c:legend>
      <c:legendPos val="r"/>
      <c:layout>
        <c:manualLayout>
          <c:xMode val="edge"/>
          <c:yMode val="edge"/>
          <c:x val="0.59909043187783351"/>
          <c:y val="0.28577001581587058"/>
          <c:w val="0.36969696969696969"/>
          <c:h val="0.39386380872100069"/>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Categories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2015.xlsx]Camp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Analysis'!$B$38:$B$39</c:f>
              <c:strCache>
                <c:ptCount val="1"/>
                <c:pt idx="0">
                  <c:v>Rakhine-Buddhist</c:v>
                </c:pt>
              </c:strCache>
            </c:strRef>
          </c:tx>
          <c:invertIfNegative val="0"/>
          <c:cat>
            <c:strRef>
              <c:f>'Camp Analysis'!$A$40</c:f>
              <c:strCache>
                <c:ptCount val="1"/>
                <c:pt idx="0">
                  <c:v>Total</c:v>
                </c:pt>
              </c:strCache>
            </c:strRef>
          </c:cat>
          <c:val>
            <c:numRef>
              <c:f>'Camp Analysis'!$B$40</c:f>
              <c:numCache>
                <c:formatCode>General</c:formatCode>
                <c:ptCount val="1"/>
                <c:pt idx="0">
                  <c:v>5076</c:v>
                </c:pt>
              </c:numCache>
            </c:numRef>
          </c:val>
        </c:ser>
        <c:ser>
          <c:idx val="1"/>
          <c:order val="1"/>
          <c:tx>
            <c:strRef>
              <c:f>'Camp Analysis'!$C$38:$C$39</c:f>
              <c:strCache>
                <c:ptCount val="1"/>
                <c:pt idx="0">
                  <c:v>Kaman-Muslim</c:v>
                </c:pt>
              </c:strCache>
            </c:strRef>
          </c:tx>
          <c:invertIfNegative val="0"/>
          <c:cat>
            <c:strRef>
              <c:f>'Camp Analysis'!$A$40</c:f>
              <c:strCache>
                <c:ptCount val="1"/>
                <c:pt idx="0">
                  <c:v>Total</c:v>
                </c:pt>
              </c:strCache>
            </c:strRef>
          </c:cat>
          <c:val>
            <c:numRef>
              <c:f>'Camp Analysis'!$C$40</c:f>
              <c:numCache>
                <c:formatCode>General</c:formatCode>
                <c:ptCount val="1"/>
                <c:pt idx="0">
                  <c:v>2668</c:v>
                </c:pt>
              </c:numCache>
            </c:numRef>
          </c:val>
        </c:ser>
        <c:ser>
          <c:idx val="2"/>
          <c:order val="2"/>
          <c:tx>
            <c:strRef>
              <c:f>'Camp Analysis'!$D$38:$D$39</c:f>
              <c:strCache>
                <c:ptCount val="1"/>
                <c:pt idx="0">
                  <c:v> -Muslim</c:v>
                </c:pt>
              </c:strCache>
            </c:strRef>
          </c:tx>
          <c:invertIfNegative val="0"/>
          <c:cat>
            <c:strRef>
              <c:f>'Camp Analysis'!$A$40</c:f>
              <c:strCache>
                <c:ptCount val="1"/>
                <c:pt idx="0">
                  <c:v>Total</c:v>
                </c:pt>
              </c:strCache>
            </c:strRef>
          </c:cat>
          <c:val>
            <c:numRef>
              <c:f>'Camp Analysis'!$D$40</c:f>
              <c:numCache>
                <c:formatCode>General</c:formatCode>
                <c:ptCount val="1"/>
                <c:pt idx="0">
                  <c:v>136792</c:v>
                </c:pt>
              </c:numCache>
            </c:numRef>
          </c:val>
        </c:ser>
        <c:ser>
          <c:idx val="3"/>
          <c:order val="3"/>
          <c:tx>
            <c:strRef>
              <c:f>'Camp Analysis'!$E$38:$E$39</c:f>
              <c:strCache>
                <c:ptCount val="1"/>
                <c:pt idx="0">
                  <c:v>Maramargyi-Buddhist</c:v>
                </c:pt>
              </c:strCache>
            </c:strRef>
          </c:tx>
          <c:invertIfNegative val="0"/>
          <c:cat>
            <c:strRef>
              <c:f>'Camp Analysis'!$A$40</c:f>
              <c:strCache>
                <c:ptCount val="1"/>
                <c:pt idx="0">
                  <c:v>Total</c:v>
                </c:pt>
              </c:strCache>
            </c:strRef>
          </c:cat>
          <c:val>
            <c:numRef>
              <c:f>'Camp Analysis'!$E$40</c:f>
              <c:numCache>
                <c:formatCode>General</c:formatCode>
                <c:ptCount val="1"/>
                <c:pt idx="0">
                  <c:v>526</c:v>
                </c:pt>
              </c:numCache>
            </c:numRef>
          </c:val>
        </c:ser>
        <c:dLbls>
          <c:showLegendKey val="0"/>
          <c:showVal val="0"/>
          <c:showCatName val="0"/>
          <c:showSerName val="0"/>
          <c:showPercent val="0"/>
          <c:showBubbleSize val="0"/>
        </c:dLbls>
        <c:gapWidth val="150"/>
        <c:shape val="box"/>
        <c:axId val="352203160"/>
        <c:axId val="352203552"/>
        <c:axId val="0"/>
      </c:bar3DChart>
      <c:catAx>
        <c:axId val="352203160"/>
        <c:scaling>
          <c:orientation val="minMax"/>
        </c:scaling>
        <c:delete val="0"/>
        <c:axPos val="l"/>
        <c:numFmt formatCode="General" sourceLinked="0"/>
        <c:majorTickMark val="out"/>
        <c:minorTickMark val="none"/>
        <c:tickLblPos val="nextTo"/>
        <c:crossAx val="352203552"/>
        <c:crosses val="autoZero"/>
        <c:auto val="1"/>
        <c:lblAlgn val="ctr"/>
        <c:lblOffset val="100"/>
        <c:noMultiLvlLbl val="0"/>
      </c:catAx>
      <c:valAx>
        <c:axId val="352203552"/>
        <c:scaling>
          <c:orientation val="minMax"/>
          <c:min val="0"/>
        </c:scaling>
        <c:delete val="0"/>
        <c:axPos val="b"/>
        <c:majorGridlines/>
        <c:numFmt formatCode="0%" sourceLinked="1"/>
        <c:majorTickMark val="out"/>
        <c:minorTickMark val="none"/>
        <c:tickLblPos val="nextTo"/>
        <c:crossAx val="3522031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2.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3.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3.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4.xml"/><Relationship Id="rId9" Type="http://schemas.openxmlformats.org/officeDocument/2006/relationships/hyperlink" Target="#'Shelter Coverage &amp; Gaps'!A1"/></Relationships>
</file>

<file path=xl/drawings/_rels/drawing15.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18.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1.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18.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Asia/Myanmar/RakhineAndKachin/Pages/Standards_Guidelines.aspx" TargetMode="External"/><Relationship Id="rId9"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3.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s>
</file>

<file path=xl/drawings/_rels/drawing6.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amp Analysis'!R1C1"/><Relationship Id="rId3" Type="http://schemas.openxmlformats.org/officeDocument/2006/relationships/image" Target="../media/image6.png"/><Relationship Id="rId7" Type="http://schemas.openxmlformats.org/officeDocument/2006/relationships/hyperlink" Target="#'Camp List'!R1C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6.xml"/><Relationship Id="rId5" Type="http://schemas.openxmlformats.org/officeDocument/2006/relationships/hyperlink" Target="#Home!A1"/><Relationship Id="rId10" Type="http://schemas.openxmlformats.org/officeDocument/2006/relationships/hyperlink" Target="#'CCCM Dashboard'!R1C1"/><Relationship Id="rId4" Type="http://schemas.openxmlformats.org/officeDocument/2006/relationships/image" Target="../media/image9.png"/><Relationship Id="rId9" Type="http://schemas.openxmlformats.org/officeDocument/2006/relationships/hyperlink" Target="#'Camp List (printable) '!R1C1"/></Relationships>
</file>

<file path=xl/drawings/_rels/drawing9.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chart" Target="../charts/chart7.xml"/><Relationship Id="rId7" Type="http://schemas.openxmlformats.org/officeDocument/2006/relationships/hyperlink" Target="#'Camp List'!R1C1"/><Relationship Id="rId12"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chart" Target="../charts/chart10.xml"/><Relationship Id="rId11" Type="http://schemas.openxmlformats.org/officeDocument/2006/relationships/hyperlink" Target="#'CCCM Dashboard'!R1C1"/><Relationship Id="rId5" Type="http://schemas.openxmlformats.org/officeDocument/2006/relationships/chart" Target="../charts/chart9.xml"/><Relationship Id="rId10" Type="http://schemas.openxmlformats.org/officeDocument/2006/relationships/hyperlink" Target="#'Camp List (printable) '!R1C1"/><Relationship Id="rId4" Type="http://schemas.openxmlformats.org/officeDocument/2006/relationships/chart" Target="../charts/chart8.xml"/><Relationship Id="rId9" Type="http://schemas.openxmlformats.org/officeDocument/2006/relationships/hyperlink" Target="#'Camp Analysis'!R1C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57" name="Picture 56"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70" name="Picture 69"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83" name="Picture 82"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96" name="Picture 95"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08" name="Picture 107"/>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09" name="Picture 108"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27</xdr:col>
          <xdr:colOff>590550</xdr:colOff>
          <xdr:row>15</xdr:row>
          <xdr:rowOff>123825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485775</xdr:colOff>
          <xdr:row>11</xdr:row>
          <xdr:rowOff>104775</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6553200" y="0"/>
          <a:ext cx="4126706"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18</xdr:col>
      <xdr:colOff>0</xdr:colOff>
      <xdr:row>1</xdr:row>
      <xdr:rowOff>453005</xdr:rowOff>
    </xdr:to>
    <xdr:grpSp>
      <xdr:nvGrpSpPr>
        <xdr:cNvPr id="5" name="Group 4"/>
        <xdr:cNvGrpSpPr/>
      </xdr:nvGrpSpPr>
      <xdr:grpSpPr>
        <a:xfrm>
          <a:off x="11003076" y="340179"/>
          <a:ext cx="9606643" cy="565264"/>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2063750</xdr:colOff>
      <xdr:row>1</xdr:row>
      <xdr:rowOff>127000</xdr:rowOff>
    </xdr:from>
    <xdr:to>
      <xdr:col>17</xdr:col>
      <xdr:colOff>773431</xdr:colOff>
      <xdr:row>1</xdr:row>
      <xdr:rowOff>702469</xdr:rowOff>
    </xdr:to>
    <xdr:grpSp>
      <xdr:nvGrpSpPr>
        <xdr:cNvPr id="11" name="Group 10"/>
        <xdr:cNvGrpSpPr/>
      </xdr:nvGrpSpPr>
      <xdr:grpSpPr>
        <a:xfrm>
          <a:off x="11422784" y="588818"/>
          <a:ext cx="8270761" cy="575469"/>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569744" y="722313"/>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4.xml><?xml version="1.0" encoding="utf-8"?>
<c:userShapes xmlns:c="http://schemas.openxmlformats.org/drawingml/2006/chart">
  <cdr:absSizeAnchor xmlns:cdr="http://schemas.openxmlformats.org/drawingml/2006/chartDrawing">
    <cdr:from>
      <cdr:x>0.01048</cdr:x>
      <cdr:y>0.0421</cdr:y>
    </cdr:from>
    <cdr:ext cx="5387974" cy="256328"/>
    <cdr:sp macro="" textlink="">
      <cdr:nvSpPr>
        <cdr:cNvPr id="2" name="TextBox 3"/>
        <cdr:cNvSpPr txBox="1">
          <a:spLocks xmlns:a="http://schemas.openxmlformats.org/drawingml/2006/main"/>
        </cdr:cNvSpPr>
      </cdr:nvSpPr>
      <cdr:spPr>
        <a:xfrm xmlns:a="http://schemas.openxmlformats.org/drawingml/2006/main">
          <a:off x="57150" y="134197"/>
          <a:ext cx="5387974" cy="25632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5.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33784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145,062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67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15,677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24567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0125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6.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85000" cy="8603756"/>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656556"/>
          <a:ext cx="1450447" cy="1012357"/>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80179</xdr:rowOff>
    </xdr:to>
    <xdr:grpSp>
      <xdr:nvGrpSpPr>
        <xdr:cNvPr id="8" name="Location"/>
        <xdr:cNvGrpSpPr/>
      </xdr:nvGrpSpPr>
      <xdr:grpSpPr>
        <a:xfrm>
          <a:off x="12590019" y="3835410"/>
          <a:ext cx="1270000" cy="376238"/>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559593</xdr:colOff>
      <xdr:row>1</xdr:row>
      <xdr:rowOff>73555</xdr:rowOff>
    </xdr:from>
    <xdr:to>
      <xdr:col>4</xdr:col>
      <xdr:colOff>857250</xdr:colOff>
      <xdr:row>7</xdr:row>
      <xdr:rowOff>18786</xdr:rowOff>
    </xdr:to>
    <xdr:grpSp>
      <xdr:nvGrpSpPr>
        <xdr:cNvPr id="20" name="Group 19"/>
        <xdr:cNvGrpSpPr/>
      </xdr:nvGrpSpPr>
      <xdr:grpSpPr>
        <a:xfrm>
          <a:off x="4345781" y="264055"/>
          <a:ext cx="1559719" cy="1016794"/>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1"/>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342900</xdr:colOff>
          <xdr:row>19</xdr:row>
          <xdr:rowOff>57150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681565"/>
          <a:ext cx="1478012" cy="142324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53501"/>
            <a:ext cx="708965" cy="99055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145,062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52288"/>
            <a:ext cx="836058" cy="40977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29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73929"/>
            <a:ext cx="1893717" cy="60371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36</xdr:row>
      <xdr:rowOff>82550</xdr:rowOff>
    </xdr:from>
    <xdr:to>
      <xdr:col>4</xdr:col>
      <xdr:colOff>334962</xdr:colOff>
      <xdr:row>39</xdr:row>
      <xdr:rowOff>35820</xdr:rowOff>
    </xdr:to>
    <xdr:grpSp>
      <xdr:nvGrpSpPr>
        <xdr:cNvPr id="174" name="Kyauk_Phyu_G"/>
        <xdr:cNvGrpSpPr/>
      </xdr:nvGrpSpPr>
      <xdr:grpSpPr>
        <a:xfrm>
          <a:off x="4113213" y="6535738"/>
          <a:ext cx="1269999" cy="512863"/>
          <a:chOff x="11991091" y="-4899795"/>
          <a:chExt cx="2823751" cy="8842719"/>
        </a:xfrm>
      </xdr:grpSpPr>
      <xdr:sp macro="" textlink="">
        <xdr:nvSpPr>
          <xdr:cNvPr id="175" name="Oval"/>
          <xdr:cNvSpPr/>
        </xdr:nvSpPr>
        <xdr:spPr>
          <a:xfrm>
            <a:off x="13224988" y="-1857372"/>
            <a:ext cx="355957" cy="275785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76" name="Pop" hidden="1"/>
          <xdr:cNvSpPr txBox="1"/>
        </xdr:nvSpPr>
        <xdr:spPr>
          <a:xfrm>
            <a:off x="12959413" y="1763036"/>
            <a:ext cx="708964" cy="2171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F8466A1-27F7-4265-8FDE-007C8D6B27D7}"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77" name="N_Camp" hidden="1"/>
          <xdr:cNvSpPr txBox="1"/>
        </xdr:nvSpPr>
        <xdr:spPr>
          <a:xfrm>
            <a:off x="13337142" y="1771424"/>
            <a:ext cx="836057" cy="2171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4896C1-D29E-40BB-9853-C69F989EC2FE}" type="TxLink">
              <a:rPr lang="en-US" sz="600" i="1">
                <a:solidFill>
                  <a:schemeClr val="tx1"/>
                </a:solidFill>
                <a:latin typeface="Arial" pitchFamily="34" charset="0"/>
                <a:cs typeface="Arial" pitchFamily="34" charset="0"/>
              </a:rPr>
              <a:pPr algn="r"/>
              <a:t>2</a:t>
            </a:fld>
            <a:endParaRPr lang="en-US" sz="600" i="1">
              <a:solidFill>
                <a:schemeClr val="tx1"/>
              </a:solidFill>
              <a:latin typeface="Arial" pitchFamily="34" charset="0"/>
              <a:cs typeface="Arial" pitchFamily="34" charset="0"/>
            </a:endParaRPr>
          </a:p>
        </xdr:txBody>
      </xdr:sp>
      <xdr:sp macro="" textlink="U3">
        <xdr:nvSpPr>
          <xdr:cNvPr id="178" name="Site"/>
          <xdr:cNvSpPr txBox="1"/>
        </xdr:nvSpPr>
        <xdr:spPr>
          <a:xfrm>
            <a:off x="11991091" y="-4899795"/>
            <a:ext cx="2823751" cy="319924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35EA9C0-43DA-4325-A237-C64AE9636CC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Kyauk_Phyu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79" name="Cluster"/>
          <xdr:cNvGrpSpPr/>
        </xdr:nvGrpSpPr>
        <xdr:grpSpPr>
          <a:xfrm>
            <a:off x="12477748" y="2348604"/>
            <a:ext cx="1732609" cy="380242"/>
            <a:chOff x="12477748" y="2348604"/>
            <a:chExt cx="1732609" cy="380242"/>
          </a:xfrm>
        </xdr:grpSpPr>
        <xdr:grpSp>
          <xdr:nvGrpSpPr>
            <xdr:cNvPr id="180" name="Shelter_G"/>
            <xdr:cNvGrpSpPr/>
          </xdr:nvGrpSpPr>
          <xdr:grpSpPr>
            <a:xfrm>
              <a:off x="12477748" y="2367654"/>
              <a:ext cx="332972" cy="361192"/>
              <a:chOff x="8585625" y="4782769"/>
              <a:chExt cx="147154" cy="166659"/>
            </a:xfrm>
          </xdr:grpSpPr>
          <xdr:pic>
            <xdr:nvPicPr>
              <xdr:cNvPr id="18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85"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81" name="NFI_G"/>
            <xdr:cNvGrpSpPr/>
          </xdr:nvGrpSpPr>
          <xdr:grpSpPr>
            <a:xfrm>
              <a:off x="13877376" y="2348604"/>
              <a:ext cx="332981" cy="361192"/>
              <a:chOff x="8250078" y="5375644"/>
              <a:chExt cx="147158" cy="166659"/>
            </a:xfrm>
          </xdr:grpSpPr>
          <xdr:pic>
            <xdr:nvPicPr>
              <xdr:cNvPr id="18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8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1133475</xdr:colOff>
      <xdr:row>9</xdr:row>
      <xdr:rowOff>152400</xdr:rowOff>
    </xdr:from>
    <xdr:to>
      <xdr:col>2</xdr:col>
      <xdr:colOff>1136650</xdr:colOff>
      <xdr:row>11</xdr:row>
      <xdr:rowOff>171450</xdr:rowOff>
    </xdr:to>
    <xdr:grpSp>
      <xdr:nvGrpSpPr>
        <xdr:cNvPr id="186" name="Kyauktaw_G"/>
        <xdr:cNvGrpSpPr/>
      </xdr:nvGrpSpPr>
      <xdr:grpSpPr>
        <a:xfrm>
          <a:off x="2395538" y="1771650"/>
          <a:ext cx="1265237" cy="376238"/>
          <a:chOff x="12380951" y="1890667"/>
          <a:chExt cx="1893717" cy="1160034"/>
        </a:xfrm>
      </xdr:grpSpPr>
      <xdr:sp macro="" textlink="">
        <xdr:nvSpPr>
          <xdr:cNvPr id="187" name="Oval"/>
          <xdr:cNvSpPr/>
        </xdr:nvSpPr>
        <xdr:spPr>
          <a:xfrm>
            <a:off x="13084668" y="1974214"/>
            <a:ext cx="486284" cy="99294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188" name="Pop" hidden="1"/>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63B75EE-3066-476B-B34C-9531A2BD5AE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6512</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189" name="N_Camp" hidden="1"/>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85FE2FA-D0C5-41BC-8054-6439153C8CCE}" type="TxLink">
              <a:rPr lang="en-US" sz="600" i="1">
                <a:solidFill>
                  <a:schemeClr val="tx1"/>
                </a:solidFill>
                <a:latin typeface="Arial" pitchFamily="34" charset="0"/>
                <a:cs typeface="Arial" pitchFamily="34" charset="0"/>
              </a:rPr>
              <a:pPr algn="r"/>
              <a:t>0</a:t>
            </a:fld>
            <a:endParaRPr lang="en-US" sz="600" i="1">
              <a:solidFill>
                <a:schemeClr val="tx1"/>
              </a:solidFill>
              <a:latin typeface="Arial" pitchFamily="34" charset="0"/>
              <a:cs typeface="Arial" pitchFamily="34" charset="0"/>
            </a:endParaRPr>
          </a:p>
        </xdr:txBody>
      </xdr:sp>
      <xdr:sp macro="" textlink="U4">
        <xdr:nvSpPr>
          <xdr:cNvPr id="190"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EA04C2A-B319-4434-928A-614B53A118EB}"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1" name="Cluster"/>
          <xdr:cNvGrpSpPr/>
        </xdr:nvGrpSpPr>
        <xdr:grpSpPr>
          <a:xfrm>
            <a:off x="12477748" y="2348604"/>
            <a:ext cx="1732609" cy="380242"/>
            <a:chOff x="12477748" y="2348604"/>
            <a:chExt cx="1732609" cy="380242"/>
          </a:xfrm>
        </xdr:grpSpPr>
        <xdr:grpSp>
          <xdr:nvGrpSpPr>
            <xdr:cNvPr id="192" name="Shelter_G"/>
            <xdr:cNvGrpSpPr/>
          </xdr:nvGrpSpPr>
          <xdr:grpSpPr>
            <a:xfrm>
              <a:off x="12477748" y="2367654"/>
              <a:ext cx="332972" cy="361192"/>
              <a:chOff x="8585625" y="4782769"/>
              <a:chExt cx="147154" cy="166659"/>
            </a:xfrm>
          </xdr:grpSpPr>
          <xdr:pic>
            <xdr:nvPicPr>
              <xdr:cNvPr id="19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7"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93" name="NFI_G"/>
            <xdr:cNvGrpSpPr/>
          </xdr:nvGrpSpPr>
          <xdr:grpSpPr>
            <a:xfrm>
              <a:off x="13877376" y="2348604"/>
              <a:ext cx="332981" cy="361192"/>
              <a:chOff x="8250078" y="5375644"/>
              <a:chExt cx="147158" cy="166659"/>
            </a:xfrm>
          </xdr:grpSpPr>
          <xdr:pic>
            <xdr:nvPicPr>
              <xdr:cNvPr id="19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317500</xdr:colOff>
      <xdr:row>8</xdr:row>
      <xdr:rowOff>155575</xdr:rowOff>
    </xdr:from>
    <xdr:to>
      <xdr:col>1</xdr:col>
      <xdr:colOff>320675</xdr:colOff>
      <xdr:row>10</xdr:row>
      <xdr:rowOff>174625</xdr:rowOff>
    </xdr:to>
    <xdr:grpSp>
      <xdr:nvGrpSpPr>
        <xdr:cNvPr id="198" name="Maungdaw_G"/>
        <xdr:cNvGrpSpPr/>
      </xdr:nvGrpSpPr>
      <xdr:grpSpPr>
        <a:xfrm>
          <a:off x="317500" y="1596231"/>
          <a:ext cx="1265238" cy="376238"/>
          <a:chOff x="12380951" y="1890667"/>
          <a:chExt cx="1893717" cy="1160034"/>
        </a:xfrm>
      </xdr:grpSpPr>
      <xdr:sp macro="" textlink="">
        <xdr:nvSpPr>
          <xdr:cNvPr id="199" name="Oval"/>
          <xdr:cNvSpPr/>
        </xdr:nvSpPr>
        <xdr:spPr>
          <a:xfrm>
            <a:off x="13215776" y="2241923"/>
            <a:ext cx="224067"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0" name="Pop" hidden="1"/>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C5970C3-C1D4-40CA-9672-9717B0AAAD6E}"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1400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1" name="N_Camp" hidden="1"/>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2253E27-7510-4AD7-A64F-202FE3639CCF}" type="TxLink">
              <a:rPr lang="en-US" sz="600" i="1">
                <a:solidFill>
                  <a:schemeClr val="tx1"/>
                </a:solidFill>
                <a:latin typeface="Arial" pitchFamily="34" charset="0"/>
                <a:cs typeface="Arial" pitchFamily="34" charset="0"/>
              </a:rPr>
              <a:pPr algn="r"/>
              <a:t>0</a:t>
            </a:fld>
            <a:endParaRPr lang="en-US" sz="600" i="1">
              <a:solidFill>
                <a:schemeClr val="tx1"/>
              </a:solidFill>
              <a:latin typeface="Arial" pitchFamily="34" charset="0"/>
              <a:cs typeface="Arial" pitchFamily="34" charset="0"/>
            </a:endParaRPr>
          </a:p>
        </xdr:txBody>
      </xdr:sp>
      <xdr:sp macro="" textlink="U5">
        <xdr:nvSpPr>
          <xdr:cNvPr id="20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1CE26CE-CD60-43CB-9EEC-F3260A01F5EC}"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 name="Cluster"/>
          <xdr:cNvGrpSpPr/>
        </xdr:nvGrpSpPr>
        <xdr:grpSpPr>
          <a:xfrm>
            <a:off x="12477748" y="2348604"/>
            <a:ext cx="1732609" cy="380242"/>
            <a:chOff x="12477748" y="2348604"/>
            <a:chExt cx="1732609" cy="380242"/>
          </a:xfrm>
        </xdr:grpSpPr>
        <xdr:grpSp>
          <xdr:nvGrpSpPr>
            <xdr:cNvPr id="204" name="Shelter_G"/>
            <xdr:cNvGrpSpPr/>
          </xdr:nvGrpSpPr>
          <xdr:grpSpPr>
            <a:xfrm>
              <a:off x="12477748" y="2367654"/>
              <a:ext cx="332972" cy="361192"/>
              <a:chOff x="8585625" y="4782769"/>
              <a:chExt cx="147154" cy="166659"/>
            </a:xfrm>
          </xdr:grpSpPr>
          <xdr:pic>
            <xdr:nvPicPr>
              <xdr:cNvPr id="20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9"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5" name="NFI_G"/>
            <xdr:cNvGrpSpPr/>
          </xdr:nvGrpSpPr>
          <xdr:grpSpPr>
            <a:xfrm>
              <a:off x="13877376" y="2348604"/>
              <a:ext cx="332981" cy="361192"/>
              <a:chOff x="8250078" y="5375644"/>
              <a:chExt cx="147158" cy="166659"/>
            </a:xfrm>
          </xdr:grpSpPr>
          <xdr:pic>
            <xdr:nvPicPr>
              <xdr:cNvPr id="20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174625</xdr:colOff>
      <xdr:row>26</xdr:row>
      <xdr:rowOff>38100</xdr:rowOff>
    </xdr:from>
    <xdr:to>
      <xdr:col>4</xdr:col>
      <xdr:colOff>177800</xdr:colOff>
      <xdr:row>28</xdr:row>
      <xdr:rowOff>57150</xdr:rowOff>
    </xdr:to>
    <xdr:grpSp>
      <xdr:nvGrpSpPr>
        <xdr:cNvPr id="210" name="Myebon_G"/>
        <xdr:cNvGrpSpPr/>
      </xdr:nvGrpSpPr>
      <xdr:grpSpPr>
        <a:xfrm>
          <a:off x="3960813" y="4705350"/>
          <a:ext cx="1265237" cy="376238"/>
          <a:chOff x="12380951" y="1890667"/>
          <a:chExt cx="1893717" cy="1160034"/>
        </a:xfrm>
      </xdr:grpSpPr>
      <xdr:sp macro="" textlink="">
        <xdr:nvSpPr>
          <xdr:cNvPr id="211" name="Oval"/>
          <xdr:cNvSpPr/>
        </xdr:nvSpPr>
        <xdr:spPr>
          <a:xfrm>
            <a:off x="13166593" y="2141496"/>
            <a:ext cx="322433" cy="65837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12" name="Pop" hidden="1"/>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F346A30-9215-4857-ABBA-3CA4F8BFC3FE}"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3013</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13" name="N_Camp" hidden="1"/>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F782192-C2F5-4FFC-89E6-FB1323F52A2A}" type="TxLink">
              <a:rPr lang="en-US" sz="600" i="1">
                <a:solidFill>
                  <a:schemeClr val="tx1"/>
                </a:solidFill>
                <a:latin typeface="Arial" pitchFamily="34" charset="0"/>
                <a:cs typeface="Arial" pitchFamily="34" charset="0"/>
              </a:rPr>
              <a:pPr algn="r"/>
              <a:t>2</a:t>
            </a:fld>
            <a:endParaRPr lang="en-US" sz="600" i="1">
              <a:solidFill>
                <a:schemeClr val="tx1"/>
              </a:solidFill>
              <a:latin typeface="Arial" pitchFamily="34" charset="0"/>
              <a:cs typeface="Arial" pitchFamily="34" charset="0"/>
            </a:endParaRPr>
          </a:p>
        </xdr:txBody>
      </xdr:sp>
      <xdr:sp macro="" textlink="U6">
        <xdr:nvSpPr>
          <xdr:cNvPr id="214"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80B4ADC-6124-4DDB-9059-6811681E171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 name="Cluster"/>
          <xdr:cNvGrpSpPr/>
        </xdr:nvGrpSpPr>
        <xdr:grpSpPr>
          <a:xfrm>
            <a:off x="12477748" y="2348604"/>
            <a:ext cx="1732609" cy="380242"/>
            <a:chOff x="12477748" y="2348604"/>
            <a:chExt cx="1732609" cy="380242"/>
          </a:xfrm>
        </xdr:grpSpPr>
        <xdr:grpSp>
          <xdr:nvGrpSpPr>
            <xdr:cNvPr id="216" name="Shelter_G"/>
            <xdr:cNvGrpSpPr/>
          </xdr:nvGrpSpPr>
          <xdr:grpSpPr>
            <a:xfrm>
              <a:off x="12477748" y="2367654"/>
              <a:ext cx="332972" cy="361192"/>
              <a:chOff x="8585625" y="4782769"/>
              <a:chExt cx="147154" cy="166659"/>
            </a:xfrm>
          </xdr:grpSpPr>
          <xdr:pic>
            <xdr:nvPicPr>
              <xdr:cNvPr id="22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1"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7" name="NFI_G"/>
            <xdr:cNvGrpSpPr/>
          </xdr:nvGrpSpPr>
          <xdr:grpSpPr>
            <a:xfrm>
              <a:off x="13877376" y="2348604"/>
              <a:ext cx="332981" cy="361192"/>
              <a:chOff x="8250078" y="5375644"/>
              <a:chExt cx="147158" cy="166659"/>
            </a:xfrm>
          </xdr:grpSpPr>
          <xdr:pic>
            <xdr:nvPicPr>
              <xdr:cNvPr id="21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1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73025</xdr:colOff>
      <xdr:row>17</xdr:row>
      <xdr:rowOff>104775</xdr:rowOff>
    </xdr:from>
    <xdr:to>
      <xdr:col>4</xdr:col>
      <xdr:colOff>76200</xdr:colOff>
      <xdr:row>19</xdr:row>
      <xdr:rowOff>123825</xdr:rowOff>
    </xdr:to>
    <xdr:grpSp>
      <xdr:nvGrpSpPr>
        <xdr:cNvPr id="222" name="Minbya_G"/>
        <xdr:cNvGrpSpPr/>
      </xdr:nvGrpSpPr>
      <xdr:grpSpPr>
        <a:xfrm>
          <a:off x="3859213" y="3164681"/>
          <a:ext cx="1265237" cy="376238"/>
          <a:chOff x="12380951" y="1890667"/>
          <a:chExt cx="1893717" cy="1160034"/>
        </a:xfrm>
      </xdr:grpSpPr>
      <xdr:sp macro="" textlink="">
        <xdr:nvSpPr>
          <xdr:cNvPr id="223" name="Oval"/>
          <xdr:cNvSpPr/>
        </xdr:nvSpPr>
        <xdr:spPr>
          <a:xfrm>
            <a:off x="13112163" y="2030355"/>
            <a:ext cx="431293" cy="8806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24" name="Pop" hidden="1"/>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31E8AEF-8AC8-449E-B91D-6E0A13DF46AD}"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5638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25" name="N_Camp" hidden="1"/>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56C7832-F3E4-46AD-BE3A-9C07516A2FCB}" type="TxLink">
              <a:rPr lang="en-US" sz="600" i="1">
                <a:solidFill>
                  <a:schemeClr val="tx1"/>
                </a:solidFill>
                <a:latin typeface="Arial" pitchFamily="34" charset="0"/>
                <a:cs typeface="Arial" pitchFamily="34" charset="0"/>
              </a:rPr>
              <a:pPr algn="r"/>
              <a:t>0</a:t>
            </a:fld>
            <a:endParaRPr lang="en-US" sz="600" i="1">
              <a:solidFill>
                <a:schemeClr val="tx1"/>
              </a:solidFill>
              <a:latin typeface="Arial" pitchFamily="34" charset="0"/>
              <a:cs typeface="Arial" pitchFamily="34" charset="0"/>
            </a:endParaRPr>
          </a:p>
        </xdr:txBody>
      </xdr:sp>
      <xdr:sp macro="" textlink="U7">
        <xdr:nvSpPr>
          <xdr:cNvPr id="226"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18AF8B0-A8A2-49C5-AA11-BE66A209F08B}"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7" name="Cluster"/>
          <xdr:cNvGrpSpPr/>
        </xdr:nvGrpSpPr>
        <xdr:grpSpPr>
          <a:xfrm>
            <a:off x="12477748" y="2348604"/>
            <a:ext cx="1732609" cy="380242"/>
            <a:chOff x="12477748" y="2348604"/>
            <a:chExt cx="1732609" cy="380242"/>
          </a:xfrm>
        </xdr:grpSpPr>
        <xdr:grpSp>
          <xdr:nvGrpSpPr>
            <xdr:cNvPr id="228" name="Shelter_G"/>
            <xdr:cNvGrpSpPr/>
          </xdr:nvGrpSpPr>
          <xdr:grpSpPr>
            <a:xfrm>
              <a:off x="12477748" y="2367654"/>
              <a:ext cx="332972" cy="361192"/>
              <a:chOff x="8585625" y="4782769"/>
              <a:chExt cx="147154" cy="166659"/>
            </a:xfrm>
          </xdr:grpSpPr>
          <xdr:pic>
            <xdr:nvPicPr>
              <xdr:cNvPr id="23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33"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9" name="NFI_G"/>
            <xdr:cNvGrpSpPr/>
          </xdr:nvGrpSpPr>
          <xdr:grpSpPr>
            <a:xfrm>
              <a:off x="13877376" y="2348604"/>
              <a:ext cx="332981" cy="361192"/>
              <a:chOff x="8250078" y="5375644"/>
              <a:chExt cx="147158" cy="166659"/>
            </a:xfrm>
          </xdr:grpSpPr>
          <xdr:pic>
            <xdr:nvPicPr>
              <xdr:cNvPr id="23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3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552450</xdr:colOff>
      <xdr:row>14</xdr:row>
      <xdr:rowOff>50800</xdr:rowOff>
    </xdr:from>
    <xdr:to>
      <xdr:col>3</xdr:col>
      <xdr:colOff>555625</xdr:colOff>
      <xdr:row>16</xdr:row>
      <xdr:rowOff>69850</xdr:rowOff>
    </xdr:to>
    <xdr:grpSp>
      <xdr:nvGrpSpPr>
        <xdr:cNvPr id="234" name="Mrauk_U_G"/>
        <xdr:cNvGrpSpPr/>
      </xdr:nvGrpSpPr>
      <xdr:grpSpPr>
        <a:xfrm>
          <a:off x="3076575" y="2574925"/>
          <a:ext cx="1265238" cy="376238"/>
          <a:chOff x="12380951" y="1890667"/>
          <a:chExt cx="1893717" cy="1160034"/>
        </a:xfrm>
      </xdr:grpSpPr>
      <xdr:sp macro="" textlink="">
        <xdr:nvSpPr>
          <xdr:cNvPr id="235" name="Oval"/>
          <xdr:cNvSpPr/>
        </xdr:nvSpPr>
        <xdr:spPr>
          <a:xfrm>
            <a:off x="13145974" y="2099394"/>
            <a:ext cx="363673" cy="742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36" name="Pop" hidden="1"/>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C05B912-4C32-4FB8-BABA-275477CF9B33}"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3826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37" name="N_Camp" hidden="1"/>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4A8A6A1-5301-43BD-A581-56D666878C0E}" type="TxLink">
              <a:rPr lang="en-US" sz="600" i="1">
                <a:solidFill>
                  <a:schemeClr val="tx1"/>
                </a:solidFill>
                <a:latin typeface="Arial" pitchFamily="34" charset="0"/>
                <a:cs typeface="Arial" pitchFamily="34" charset="0"/>
              </a:rPr>
              <a:pPr algn="r"/>
              <a:t>0</a:t>
            </a:fld>
            <a:endParaRPr lang="en-US" sz="600" i="1">
              <a:solidFill>
                <a:schemeClr val="tx1"/>
              </a:solidFill>
              <a:latin typeface="Arial" pitchFamily="34" charset="0"/>
              <a:cs typeface="Arial" pitchFamily="34" charset="0"/>
            </a:endParaRPr>
          </a:p>
        </xdr:txBody>
      </xdr:sp>
      <xdr:sp macro="" textlink="U8">
        <xdr:nvSpPr>
          <xdr:cNvPr id="238"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E5009A9-4610-4FBA-9551-B2FECD259CD5}"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Mrauk_U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39" name="Cluster"/>
          <xdr:cNvGrpSpPr/>
        </xdr:nvGrpSpPr>
        <xdr:grpSpPr>
          <a:xfrm>
            <a:off x="12477748" y="2348604"/>
            <a:ext cx="1732609" cy="380242"/>
            <a:chOff x="12477748" y="2348604"/>
            <a:chExt cx="1732609" cy="380242"/>
          </a:xfrm>
        </xdr:grpSpPr>
        <xdr:grpSp>
          <xdr:nvGrpSpPr>
            <xdr:cNvPr id="240" name="Shelter_G"/>
            <xdr:cNvGrpSpPr/>
          </xdr:nvGrpSpPr>
          <xdr:grpSpPr>
            <a:xfrm>
              <a:off x="12477748" y="2367654"/>
              <a:ext cx="332972" cy="361192"/>
              <a:chOff x="8585625" y="4782769"/>
              <a:chExt cx="147154" cy="166659"/>
            </a:xfrm>
          </xdr:grpSpPr>
          <xdr:pic>
            <xdr:nvPicPr>
              <xdr:cNvPr id="24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45"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41" name="NFI_G"/>
            <xdr:cNvGrpSpPr/>
          </xdr:nvGrpSpPr>
          <xdr:grpSpPr>
            <a:xfrm>
              <a:off x="13877376" y="2348604"/>
              <a:ext cx="332981" cy="361192"/>
              <a:chOff x="8250078" y="5375644"/>
              <a:chExt cx="147158" cy="166659"/>
            </a:xfrm>
          </xdr:grpSpPr>
          <xdr:pic>
            <xdr:nvPicPr>
              <xdr:cNvPr id="24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4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488950</xdr:colOff>
      <xdr:row>24</xdr:row>
      <xdr:rowOff>45165</xdr:rowOff>
    </xdr:from>
    <xdr:to>
      <xdr:col>3</xdr:col>
      <xdr:colOff>492125</xdr:colOff>
      <xdr:row>27</xdr:row>
      <xdr:rowOff>59609</xdr:rowOff>
    </xdr:to>
    <xdr:grpSp>
      <xdr:nvGrpSpPr>
        <xdr:cNvPr id="246" name="Pauktaw_G"/>
        <xdr:cNvGrpSpPr/>
      </xdr:nvGrpSpPr>
      <xdr:grpSpPr>
        <a:xfrm>
          <a:off x="3013075" y="4355228"/>
          <a:ext cx="1265238" cy="550225"/>
          <a:chOff x="12380951" y="1622169"/>
          <a:chExt cx="1893717" cy="1697026"/>
        </a:xfrm>
      </xdr:grpSpPr>
      <xdr:sp macro="" textlink="">
        <xdr:nvSpPr>
          <xdr:cNvPr id="247" name="Oval"/>
          <xdr:cNvSpPr/>
        </xdr:nvSpPr>
        <xdr:spPr>
          <a:xfrm>
            <a:off x="12912258" y="1622169"/>
            <a:ext cx="831102" cy="16970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48" name="Pop" hidden="1"/>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FDF2F0D-EBB2-46F4-81B6-727A8A524056}"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19545</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49" name="N_Camp" hidden="1"/>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A52746-FC85-4E90-9C77-E1639440D314}" type="TxLink">
              <a:rPr lang="en-US" sz="600" i="1">
                <a:solidFill>
                  <a:schemeClr val="tx1"/>
                </a:solidFill>
                <a:latin typeface="Arial" pitchFamily="34" charset="0"/>
                <a:cs typeface="Arial" pitchFamily="34" charset="0"/>
              </a:rPr>
              <a:pPr algn="r"/>
              <a:t>5</a:t>
            </a:fld>
            <a:endParaRPr lang="en-US" sz="600" i="1">
              <a:solidFill>
                <a:schemeClr val="tx1"/>
              </a:solidFill>
              <a:latin typeface="Arial" pitchFamily="34" charset="0"/>
              <a:cs typeface="Arial" pitchFamily="34" charset="0"/>
            </a:endParaRPr>
          </a:p>
        </xdr:txBody>
      </xdr:sp>
      <xdr:sp macro="" textlink="U9">
        <xdr:nvSpPr>
          <xdr:cNvPr id="250"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D05D0C1-FD94-40B6-B87C-FCC47E6BB042}"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51" name="Cluster"/>
          <xdr:cNvGrpSpPr/>
        </xdr:nvGrpSpPr>
        <xdr:grpSpPr>
          <a:xfrm>
            <a:off x="12477748" y="2348604"/>
            <a:ext cx="1732609" cy="380242"/>
            <a:chOff x="12477748" y="2348604"/>
            <a:chExt cx="1732609" cy="380242"/>
          </a:xfrm>
        </xdr:grpSpPr>
        <xdr:grpSp>
          <xdr:nvGrpSpPr>
            <xdr:cNvPr id="252" name="Shelter_G"/>
            <xdr:cNvGrpSpPr/>
          </xdr:nvGrpSpPr>
          <xdr:grpSpPr>
            <a:xfrm>
              <a:off x="12477748" y="2367654"/>
              <a:ext cx="332972" cy="361192"/>
              <a:chOff x="8585625" y="4782769"/>
              <a:chExt cx="147154" cy="166659"/>
            </a:xfrm>
          </xdr:grpSpPr>
          <xdr:pic>
            <xdr:nvPicPr>
              <xdr:cNvPr id="25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57"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53" name="NFI_G"/>
            <xdr:cNvGrpSpPr/>
          </xdr:nvGrpSpPr>
          <xdr:grpSpPr>
            <a:xfrm>
              <a:off x="13877376" y="2348604"/>
              <a:ext cx="332981" cy="361192"/>
              <a:chOff x="8250078" y="5375644"/>
              <a:chExt cx="147158" cy="166659"/>
            </a:xfrm>
          </xdr:grpSpPr>
          <xdr:pic>
            <xdr:nvPicPr>
              <xdr:cNvPr id="25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962025</xdr:colOff>
      <xdr:row>41</xdr:row>
      <xdr:rowOff>41275</xdr:rowOff>
    </xdr:from>
    <xdr:to>
      <xdr:col>4</xdr:col>
      <xdr:colOff>965200</xdr:colOff>
      <xdr:row>43</xdr:row>
      <xdr:rowOff>41275</xdr:rowOff>
    </xdr:to>
    <xdr:grpSp>
      <xdr:nvGrpSpPr>
        <xdr:cNvPr id="258" name="Ramree_G"/>
        <xdr:cNvGrpSpPr/>
      </xdr:nvGrpSpPr>
      <xdr:grpSpPr>
        <a:xfrm>
          <a:off x="4748213" y="7435056"/>
          <a:ext cx="1265237" cy="381000"/>
          <a:chOff x="12380951" y="1890667"/>
          <a:chExt cx="1893717" cy="1160034"/>
        </a:xfrm>
      </xdr:grpSpPr>
      <xdr:sp macro="" textlink="">
        <xdr:nvSpPr>
          <xdr:cNvPr id="259" name="Oval"/>
          <xdr:cNvSpPr/>
        </xdr:nvSpPr>
        <xdr:spPr>
          <a:xfrm>
            <a:off x="13279159" y="2371344"/>
            <a:ext cx="97301"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60" name="Pop" hidden="1"/>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00DE2F8-A816-4860-A4B7-E634023A6FC9}"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61" name="N_Camp" hidden="1"/>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5DAD190-FEFE-4C85-A089-C280E93069BD}" type="TxLink">
              <a:rPr lang="en-US" sz="600" i="1">
                <a:solidFill>
                  <a:schemeClr val="tx1"/>
                </a:solidFill>
                <a:latin typeface="Arial" pitchFamily="34" charset="0"/>
                <a:cs typeface="Arial" pitchFamily="34" charset="0"/>
              </a:rPr>
              <a:pPr algn="r"/>
              <a:t>1</a:t>
            </a:fld>
            <a:endParaRPr lang="en-US" sz="600" i="1">
              <a:solidFill>
                <a:schemeClr val="tx1"/>
              </a:solidFill>
              <a:latin typeface="Arial" pitchFamily="34" charset="0"/>
              <a:cs typeface="Arial" pitchFamily="34" charset="0"/>
            </a:endParaRPr>
          </a:p>
        </xdr:txBody>
      </xdr:sp>
      <xdr:sp macro="" textlink="U10">
        <xdr:nvSpPr>
          <xdr:cNvPr id="26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FDC0744-ECAE-4E36-9F17-32DD36A5AA19}"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63" name="Cluster"/>
          <xdr:cNvGrpSpPr/>
        </xdr:nvGrpSpPr>
        <xdr:grpSpPr>
          <a:xfrm>
            <a:off x="12477748" y="2348604"/>
            <a:ext cx="1732609" cy="380242"/>
            <a:chOff x="12477748" y="2348604"/>
            <a:chExt cx="1732609" cy="380242"/>
          </a:xfrm>
        </xdr:grpSpPr>
        <xdr:grpSp>
          <xdr:nvGrpSpPr>
            <xdr:cNvPr id="264" name="Shelter_G"/>
            <xdr:cNvGrpSpPr/>
          </xdr:nvGrpSpPr>
          <xdr:grpSpPr>
            <a:xfrm>
              <a:off x="12477748" y="2367654"/>
              <a:ext cx="332972" cy="361192"/>
              <a:chOff x="8585625" y="4782769"/>
              <a:chExt cx="147154" cy="166659"/>
            </a:xfrm>
          </xdr:grpSpPr>
          <xdr:pic>
            <xdr:nvPicPr>
              <xdr:cNvPr id="26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69"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65" name="NFI_G"/>
            <xdr:cNvGrpSpPr/>
          </xdr:nvGrpSpPr>
          <xdr:grpSpPr>
            <a:xfrm>
              <a:off x="13877376" y="2348604"/>
              <a:ext cx="332981" cy="361192"/>
              <a:chOff x="8250078" y="5375644"/>
              <a:chExt cx="147158" cy="166659"/>
            </a:xfrm>
          </xdr:grpSpPr>
          <xdr:pic>
            <xdr:nvPicPr>
              <xdr:cNvPr id="26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6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447675</xdr:colOff>
      <xdr:row>17</xdr:row>
      <xdr:rowOff>79375</xdr:rowOff>
    </xdr:from>
    <xdr:to>
      <xdr:col>2</xdr:col>
      <xdr:colOff>450850</xdr:colOff>
      <xdr:row>19</xdr:row>
      <xdr:rowOff>98425</xdr:rowOff>
    </xdr:to>
    <xdr:grpSp>
      <xdr:nvGrpSpPr>
        <xdr:cNvPr id="270" name="Rathedaung_G"/>
        <xdr:cNvGrpSpPr/>
      </xdr:nvGrpSpPr>
      <xdr:grpSpPr>
        <a:xfrm>
          <a:off x="1709738" y="3139281"/>
          <a:ext cx="1265237" cy="376238"/>
          <a:chOff x="12380951" y="1890667"/>
          <a:chExt cx="1893717" cy="1160034"/>
        </a:xfrm>
      </xdr:grpSpPr>
      <xdr:sp macro="" textlink="">
        <xdr:nvSpPr>
          <xdr:cNvPr id="271" name="Oval"/>
          <xdr:cNvSpPr/>
        </xdr:nvSpPr>
        <xdr:spPr>
          <a:xfrm>
            <a:off x="13139768" y="2086722"/>
            <a:ext cx="376083" cy="76792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72" name="Pop" hidden="1"/>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5DEE13C-6C88-44AE-93BE-C4E2AEA0BA08}"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4055</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73" name="N_Camp" hidden="1"/>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D8125D12-BB2C-47C3-9DC2-2E8DBB09B7AF}" type="TxLink">
              <a:rPr lang="en-US" sz="600" i="1">
                <a:solidFill>
                  <a:schemeClr val="tx1"/>
                </a:solidFill>
                <a:latin typeface="Arial" pitchFamily="34" charset="0"/>
                <a:cs typeface="Arial" pitchFamily="34" charset="0"/>
              </a:rPr>
              <a:pPr algn="r"/>
              <a:t>4</a:t>
            </a:fld>
            <a:endParaRPr lang="en-US" sz="600" i="1">
              <a:solidFill>
                <a:schemeClr val="tx1"/>
              </a:solidFill>
              <a:latin typeface="Arial" pitchFamily="34" charset="0"/>
              <a:cs typeface="Arial" pitchFamily="34" charset="0"/>
            </a:endParaRPr>
          </a:p>
        </xdr:txBody>
      </xdr:sp>
      <xdr:sp macro="" textlink="U11">
        <xdr:nvSpPr>
          <xdr:cNvPr id="274"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8814E5-B906-4A42-876D-43AB69020300}"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75" name="Cluster"/>
          <xdr:cNvGrpSpPr/>
        </xdr:nvGrpSpPr>
        <xdr:grpSpPr>
          <a:xfrm>
            <a:off x="12477748" y="2348604"/>
            <a:ext cx="1732609" cy="380242"/>
            <a:chOff x="12477748" y="2348604"/>
            <a:chExt cx="1732609" cy="380242"/>
          </a:xfrm>
        </xdr:grpSpPr>
        <xdr:grpSp>
          <xdr:nvGrpSpPr>
            <xdr:cNvPr id="276" name="Shelter_G"/>
            <xdr:cNvGrpSpPr/>
          </xdr:nvGrpSpPr>
          <xdr:grpSpPr>
            <a:xfrm>
              <a:off x="12477748" y="2367654"/>
              <a:ext cx="332972" cy="361192"/>
              <a:chOff x="8585625" y="4782769"/>
              <a:chExt cx="147154" cy="166659"/>
            </a:xfrm>
          </xdr:grpSpPr>
          <xdr:pic>
            <xdr:nvPicPr>
              <xdr:cNvPr id="28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81"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77" name="NFI_G"/>
            <xdr:cNvGrpSpPr/>
          </xdr:nvGrpSpPr>
          <xdr:grpSpPr>
            <a:xfrm>
              <a:off x="13877376" y="2348604"/>
              <a:ext cx="332981" cy="361192"/>
              <a:chOff x="8250078" y="5375644"/>
              <a:chExt cx="147158" cy="166659"/>
            </a:xfrm>
          </xdr:grpSpPr>
          <xdr:pic>
            <xdr:nvPicPr>
              <xdr:cNvPr id="27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7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320675</xdr:colOff>
      <xdr:row>20</xdr:row>
      <xdr:rowOff>10568</xdr:rowOff>
    </xdr:from>
    <xdr:to>
      <xdr:col>2</xdr:col>
      <xdr:colOff>323850</xdr:colOff>
      <xdr:row>27</xdr:row>
      <xdr:rowOff>5308</xdr:rowOff>
    </xdr:to>
    <xdr:grpSp>
      <xdr:nvGrpSpPr>
        <xdr:cNvPr id="282" name="Sittwe_G"/>
        <xdr:cNvGrpSpPr/>
      </xdr:nvGrpSpPr>
      <xdr:grpSpPr>
        <a:xfrm>
          <a:off x="1582738" y="3606256"/>
          <a:ext cx="1265237" cy="1244896"/>
          <a:chOff x="12380951" y="550136"/>
          <a:chExt cx="1893717" cy="3841098"/>
        </a:xfrm>
      </xdr:grpSpPr>
      <xdr:sp macro="" textlink="">
        <xdr:nvSpPr>
          <xdr:cNvPr id="283" name="Oval"/>
          <xdr:cNvSpPr/>
        </xdr:nvSpPr>
        <xdr:spPr>
          <a:xfrm>
            <a:off x="12387241" y="550136"/>
            <a:ext cx="1881139" cy="384109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84" name="Pop" hidden="1"/>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EA7F96D-36D5-4861-B04C-B9A577F9ECB6}"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99208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85" name="N_Camp" hidden="1"/>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1B339C6-DE1C-4CF7-AB8B-92F61D788C59}" type="TxLink">
              <a:rPr lang="en-US" sz="600" i="1">
                <a:solidFill>
                  <a:schemeClr val="tx1"/>
                </a:solidFill>
                <a:latin typeface="Arial" pitchFamily="34" charset="0"/>
                <a:cs typeface="Arial" pitchFamily="34" charset="0"/>
              </a:rPr>
              <a:pPr algn="r"/>
              <a:t>15</a:t>
            </a:fld>
            <a:endParaRPr lang="en-US" sz="600" i="1">
              <a:solidFill>
                <a:schemeClr val="tx1"/>
              </a:solidFill>
              <a:latin typeface="Arial" pitchFamily="34" charset="0"/>
              <a:cs typeface="Arial" pitchFamily="34" charset="0"/>
            </a:endParaRPr>
          </a:p>
        </xdr:txBody>
      </xdr:sp>
      <xdr:sp macro="" textlink="U12">
        <xdr:nvSpPr>
          <xdr:cNvPr id="286"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CD5CD0-A7AA-44C2-A88E-A5715529A32A}"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87" name="Cluster"/>
          <xdr:cNvGrpSpPr/>
        </xdr:nvGrpSpPr>
        <xdr:grpSpPr>
          <a:xfrm>
            <a:off x="12477748" y="2348604"/>
            <a:ext cx="1732609" cy="380242"/>
            <a:chOff x="12477748" y="2348604"/>
            <a:chExt cx="1732609" cy="380242"/>
          </a:xfrm>
        </xdr:grpSpPr>
        <xdr:grpSp>
          <xdr:nvGrpSpPr>
            <xdr:cNvPr id="288" name="Shelter_G"/>
            <xdr:cNvGrpSpPr/>
          </xdr:nvGrpSpPr>
          <xdr:grpSpPr>
            <a:xfrm>
              <a:off x="12477748" y="2367654"/>
              <a:ext cx="332972" cy="361192"/>
              <a:chOff x="8585625" y="4782769"/>
              <a:chExt cx="147154" cy="166659"/>
            </a:xfrm>
          </xdr:grpSpPr>
          <xdr:pic>
            <xdr:nvPicPr>
              <xdr:cNvPr id="29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9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89" name="NFI_G"/>
            <xdr:cNvGrpSpPr/>
          </xdr:nvGrpSpPr>
          <xdr:grpSpPr>
            <a:xfrm>
              <a:off x="13877376" y="2348604"/>
              <a:ext cx="332981" cy="361192"/>
              <a:chOff x="8250078" y="5375644"/>
              <a:chExt cx="147158" cy="166659"/>
            </a:xfrm>
          </xdr:grpSpPr>
          <xdr:pic>
            <xdr:nvPicPr>
              <xdr:cNvPr id="29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9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16</xdr:col>
      <xdr:colOff>36210</xdr:colOff>
      <xdr:row>23</xdr:row>
      <xdr:rowOff>52261</xdr:rowOff>
    </xdr:from>
    <xdr:to>
      <xdr:col>19</xdr:col>
      <xdr:colOff>421780</xdr:colOff>
      <xdr:row>31</xdr:row>
      <xdr:rowOff>125887</xdr:rowOff>
    </xdr:to>
    <xdr:grpSp>
      <xdr:nvGrpSpPr>
        <xdr:cNvPr id="295" name="Rakhine_G"/>
        <xdr:cNvGrpSpPr/>
      </xdr:nvGrpSpPr>
      <xdr:grpSpPr>
        <a:xfrm>
          <a:off x="8263429" y="4183730"/>
          <a:ext cx="1516664" cy="1502376"/>
          <a:chOff x="12197736" y="306610"/>
          <a:chExt cx="2260148" cy="4585389"/>
        </a:xfrm>
      </xdr:grpSpPr>
      <xdr:sp macro="" textlink="">
        <xdr:nvSpPr>
          <xdr:cNvPr id="296" name="Oval"/>
          <xdr:cNvSpPr/>
        </xdr:nvSpPr>
        <xdr:spPr>
          <a:xfrm>
            <a:off x="12197736" y="306610"/>
            <a:ext cx="2260148" cy="458538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97" name="Pop" hidden="1"/>
          <xdr:cNvSpPr txBox="1"/>
        </xdr:nvSpPr>
        <xdr:spPr>
          <a:xfrm>
            <a:off x="12959414" y="2389609"/>
            <a:ext cx="708964" cy="91833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CD8F7B0-163C-42BB-BE4E-9C5A9D2680C8}"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145,062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98" name="N_Camp" hidden="1"/>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94A54D5-8521-4F65-BE98-6D7DF694252F}" type="TxLink">
              <a:rPr lang="en-US" sz="600" i="1">
                <a:solidFill>
                  <a:schemeClr val="tx1"/>
                </a:solidFill>
                <a:latin typeface="Arial" pitchFamily="34" charset="0"/>
                <a:cs typeface="Arial" pitchFamily="34" charset="0"/>
              </a:rPr>
              <a:pPr algn="r"/>
              <a:t> 29 </a:t>
            </a:fld>
            <a:endParaRPr lang="en-US" sz="600" i="1">
              <a:solidFill>
                <a:schemeClr val="tx1"/>
              </a:solidFill>
              <a:latin typeface="Arial" pitchFamily="34" charset="0"/>
              <a:cs typeface="Arial" pitchFamily="34" charset="0"/>
            </a:endParaRPr>
          </a:p>
        </xdr:txBody>
      </xdr:sp>
      <xdr:sp macro="" textlink="U13">
        <xdr:nvSpPr>
          <xdr:cNvPr id="299"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5796593-E009-494B-8C78-AEE1739CFFFA}"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00" name="Cluster"/>
          <xdr:cNvGrpSpPr/>
        </xdr:nvGrpSpPr>
        <xdr:grpSpPr>
          <a:xfrm>
            <a:off x="12477748" y="2348604"/>
            <a:ext cx="1732609" cy="380242"/>
            <a:chOff x="12477748" y="2348604"/>
            <a:chExt cx="1732609" cy="380242"/>
          </a:xfrm>
        </xdr:grpSpPr>
        <xdr:grpSp>
          <xdr:nvGrpSpPr>
            <xdr:cNvPr id="301" name="Shelter_G"/>
            <xdr:cNvGrpSpPr/>
          </xdr:nvGrpSpPr>
          <xdr:grpSpPr>
            <a:xfrm>
              <a:off x="12477748" y="2367654"/>
              <a:ext cx="332972" cy="361192"/>
              <a:chOff x="8585625" y="4782769"/>
              <a:chExt cx="147154" cy="166659"/>
            </a:xfrm>
          </xdr:grpSpPr>
          <xdr:pic>
            <xdr:nvPicPr>
              <xdr:cNvPr id="30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06"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02" name="NFI_G"/>
            <xdr:cNvGrpSpPr/>
          </xdr:nvGrpSpPr>
          <xdr:grpSpPr>
            <a:xfrm>
              <a:off x="13877376" y="2348604"/>
              <a:ext cx="332981" cy="361192"/>
              <a:chOff x="8250078" y="5375644"/>
              <a:chExt cx="147158" cy="166659"/>
            </a:xfrm>
          </xdr:grpSpPr>
          <xdr:pic>
            <xdr:nvPicPr>
              <xdr:cNvPr id="30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0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6412566" y="507066"/>
          <a:ext cx="5454463" cy="525743"/>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23</xdr:col>
      <xdr:colOff>508000</xdr:colOff>
      <xdr:row>1</xdr:row>
      <xdr:rowOff>873125</xdr:rowOff>
    </xdr:to>
    <xdr:grpSp>
      <xdr:nvGrpSpPr>
        <xdr:cNvPr id="10" name="Group 9"/>
        <xdr:cNvGrpSpPr/>
      </xdr:nvGrpSpPr>
      <xdr:grpSpPr>
        <a:xfrm>
          <a:off x="3898900" y="679450"/>
          <a:ext cx="610870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14</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15</xdr:col>
      <xdr:colOff>164988</xdr:colOff>
      <xdr:row>0</xdr:row>
      <xdr:rowOff>0</xdr:rowOff>
    </xdr:from>
    <xdr:to>
      <xdr:col>17</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650874</xdr:colOff>
      <xdr:row>0</xdr:row>
      <xdr:rowOff>607219</xdr:rowOff>
    </xdr:from>
    <xdr:to>
      <xdr:col>14</xdr:col>
      <xdr:colOff>35718</xdr:colOff>
      <xdr:row>2</xdr:row>
      <xdr:rowOff>71438</xdr:rowOff>
    </xdr:to>
    <xdr:grpSp>
      <xdr:nvGrpSpPr>
        <xdr:cNvPr id="9" name="Group 8"/>
        <xdr:cNvGrpSpPr/>
      </xdr:nvGrpSpPr>
      <xdr:grpSpPr>
        <a:xfrm>
          <a:off x="2829718" y="607219"/>
          <a:ext cx="4361656" cy="452438"/>
          <a:chOff x="6500812" y="317500"/>
          <a:chExt cx="6186806" cy="575469"/>
        </a:xfrm>
      </xdr:grpSpPr>
      <xdr:pic>
        <xdr:nvPicPr>
          <xdr:cNvPr id="10" name="Picture 9"/>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1" name="Picture 10"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11906</xdr:colOff>
      <xdr:row>0</xdr:row>
      <xdr:rowOff>0</xdr:rowOff>
    </xdr:from>
    <xdr:to>
      <xdr:col>11</xdr:col>
      <xdr:colOff>1587145</xdr:colOff>
      <xdr:row>0</xdr:row>
      <xdr:rowOff>360000</xdr:rowOff>
    </xdr:to>
    <xdr:sp macro="" textlink="">
      <xdr:nvSpPr>
        <xdr:cNvPr id="28" name="Rounded Rectangle 27">
          <a:hlinkClick xmlns:r="http://schemas.openxmlformats.org/officeDocument/2006/relationships" r:id="rId3"/>
        </xdr:cNvPr>
        <xdr:cNvSpPr/>
      </xdr:nvSpPr>
      <xdr:spPr>
        <a:xfrm>
          <a:off x="2274094"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5</xdr:col>
      <xdr:colOff>318562</xdr:colOff>
      <xdr:row>0</xdr:row>
      <xdr:rowOff>360000</xdr:rowOff>
    </xdr:to>
    <xdr:sp macro="" textlink="">
      <xdr:nvSpPr>
        <xdr:cNvPr id="29" name="Rounded Rectangle 28">
          <a:hlinkClick xmlns:r="http://schemas.openxmlformats.org/officeDocument/2006/relationships" r:id="rId4"/>
        </xdr:cNvPr>
        <xdr:cNvSpPr/>
      </xdr:nvSpPr>
      <xdr:spPr>
        <a:xfrm>
          <a:off x="0" y="0"/>
          <a:ext cx="1152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440532</xdr:colOff>
      <xdr:row>0</xdr:row>
      <xdr:rowOff>0</xdr:rowOff>
    </xdr:from>
    <xdr:to>
      <xdr:col>16</xdr:col>
      <xdr:colOff>171437</xdr:colOff>
      <xdr:row>0</xdr:row>
      <xdr:rowOff>360000</xdr:rowOff>
    </xdr:to>
    <xdr:sp macro="" textlink="">
      <xdr:nvSpPr>
        <xdr:cNvPr id="30" name="Rounded Rectangle 29">
          <a:hlinkClick xmlns:r="http://schemas.openxmlformats.org/officeDocument/2006/relationships" r:id="rId5"/>
        </xdr:cNvPr>
        <xdr:cNvSpPr/>
      </xdr:nvSpPr>
      <xdr:spPr>
        <a:xfrm>
          <a:off x="6322220" y="0"/>
          <a:ext cx="139778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11</xdr:col>
      <xdr:colOff>1964530</xdr:colOff>
      <xdr:row>0</xdr:row>
      <xdr:rowOff>11906</xdr:rowOff>
    </xdr:from>
    <xdr:to>
      <xdr:col>13</xdr:col>
      <xdr:colOff>69665</xdr:colOff>
      <xdr:row>0</xdr:row>
      <xdr:rowOff>371906</xdr:rowOff>
    </xdr:to>
    <xdr:sp macro="" textlink="">
      <xdr:nvSpPr>
        <xdr:cNvPr id="31" name="Rounded Rectangle 30">
          <a:hlinkClick xmlns:r="http://schemas.openxmlformats.org/officeDocument/2006/relationships" r:id="rId6"/>
        </xdr:cNvPr>
        <xdr:cNvSpPr/>
      </xdr:nvSpPr>
      <xdr:spPr>
        <a:xfrm>
          <a:off x="4226718" y="11906"/>
          <a:ext cx="17246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16</xdr:col>
      <xdr:colOff>452436</xdr:colOff>
      <xdr:row>0</xdr:row>
      <xdr:rowOff>11906</xdr:rowOff>
    </xdr:from>
    <xdr:to>
      <xdr:col>19</xdr:col>
      <xdr:colOff>309561</xdr:colOff>
      <xdr:row>0</xdr:row>
      <xdr:rowOff>371906</xdr:rowOff>
    </xdr:to>
    <xdr:sp macro="" textlink="">
      <xdr:nvSpPr>
        <xdr:cNvPr id="32" name="Rounded Rectangle 31">
          <a:hlinkClick xmlns:r="http://schemas.openxmlformats.org/officeDocument/2006/relationships" r:id="rId7"/>
        </xdr:cNvPr>
        <xdr:cNvSpPr/>
      </xdr:nvSpPr>
      <xdr:spPr>
        <a:xfrm>
          <a:off x="8000999" y="11906"/>
          <a:ext cx="148828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26</xdr:col>
      <xdr:colOff>571499</xdr:colOff>
      <xdr:row>2</xdr:row>
      <xdr:rowOff>52916</xdr:rowOff>
    </xdr:from>
    <xdr:to>
      <xdr:col>34</xdr:col>
      <xdr:colOff>389465</xdr:colOff>
      <xdr:row>16</xdr:row>
      <xdr:rowOff>179918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17199</xdr:colOff>
      <xdr:row>1</xdr:row>
      <xdr:rowOff>197116</xdr:rowOff>
    </xdr:from>
    <xdr:to>
      <xdr:col>9</xdr:col>
      <xdr:colOff>507472</xdr:colOff>
      <xdr:row>2</xdr:row>
      <xdr:rowOff>222060</xdr:rowOff>
    </xdr:to>
    <xdr:grpSp>
      <xdr:nvGrpSpPr>
        <xdr:cNvPr id="16" name="Group 15"/>
        <xdr:cNvGrpSpPr/>
      </xdr:nvGrpSpPr>
      <xdr:grpSpPr>
        <a:xfrm>
          <a:off x="6515366" y="652199"/>
          <a:ext cx="2871523" cy="448278"/>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15877</xdr:colOff>
      <xdr:row>25</xdr:row>
      <xdr:rowOff>95250</xdr:rowOff>
    </xdr:from>
    <xdr:to>
      <xdr:col>8</xdr:col>
      <xdr:colOff>254000</xdr:colOff>
      <xdr:row>38</xdr:row>
      <xdr:rowOff>635000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129721</xdr:rowOff>
    </xdr:to>
    <xdr:grpSp>
      <xdr:nvGrpSpPr>
        <xdr:cNvPr id="22" name="Group 21"/>
        <xdr:cNvGrpSpPr/>
      </xdr:nvGrpSpPr>
      <xdr:grpSpPr>
        <a:xfrm>
          <a:off x="7151688" y="849313"/>
          <a:ext cx="4738687" cy="435314"/>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11</xdr:row>
      <xdr:rowOff>63500</xdr:rowOff>
    </xdr:from>
    <xdr:to>
      <xdr:col>15</xdr:col>
      <xdr:colOff>595313</xdr:colOff>
      <xdr:row>13</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000" baseline="0">
              <a:solidFill>
                <a:schemeClr val="tx2">
                  <a:lumMod val="40000"/>
                  <a:lumOff val="60000"/>
                </a:schemeClr>
              </a:solidFill>
              <a:latin typeface="Franklin Gothic Demi" pitchFamily="34" charset="0"/>
            </a:rPr>
            <a:t>https://www.sheltercluster.org/Asia/Myanmar/RakhineAndKachin/Pages/Standards_Guidelines.aspx</a:t>
          </a:r>
          <a:endParaRPr lang="en-US" sz="1000">
            <a:solidFill>
              <a:schemeClr val="tx2">
                <a:lumMod val="40000"/>
                <a:lumOff val="60000"/>
              </a:schemeClr>
            </a:solidFill>
            <a:latin typeface="Franklin Gothic Demi" pitchFamily="34" charset="0"/>
          </a:endParaRPr>
        </a:p>
      </xdr:txBody>
    </xdr:sp>
    <xdr:clientData/>
  </xdr:twoCellAnchor>
  <xdr:twoCellAnchor>
    <xdr:from>
      <xdr:col>2</xdr:col>
      <xdr:colOff>38363</xdr:colOff>
      <xdr:row>38</xdr:row>
      <xdr:rowOff>682625</xdr:rowOff>
    </xdr:from>
    <xdr:to>
      <xdr:col>15</xdr:col>
      <xdr:colOff>533401</xdr:colOff>
      <xdr:row>41</xdr:row>
      <xdr:rowOff>19845</xdr:rowOff>
    </xdr:to>
    <xdr:grpSp>
      <xdr:nvGrpSpPr>
        <xdr:cNvPr id="32" name="Group 31"/>
        <xdr:cNvGrpSpPr/>
      </xdr:nvGrpSpPr>
      <xdr:grpSpPr>
        <a:xfrm>
          <a:off x="324113" y="9612313"/>
          <a:ext cx="11520226" cy="587376"/>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8</xdr:col>
      <xdr:colOff>285748</xdr:colOff>
      <xdr:row>25</xdr:row>
      <xdr:rowOff>95249</xdr:rowOff>
    </xdr:from>
    <xdr:to>
      <xdr:col>15</xdr:col>
      <xdr:colOff>583405</xdr:colOff>
      <xdr:row>38</xdr:row>
      <xdr:rowOff>631030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55828</xdr:colOff>
      <xdr:row>34</xdr:row>
      <xdr:rowOff>119062</xdr:rowOff>
    </xdr:from>
    <xdr:to>
      <xdr:col>29</xdr:col>
      <xdr:colOff>654844</xdr:colOff>
      <xdr:row>70</xdr:row>
      <xdr:rowOff>188118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67016</xdr:colOff>
      <xdr:row>18</xdr:row>
      <xdr:rowOff>68717</xdr:rowOff>
    </xdr:from>
    <xdr:to>
      <xdr:col>15</xdr:col>
      <xdr:colOff>600075</xdr:colOff>
      <xdr:row>40</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346605</xdr:colOff>
      <xdr:row>4</xdr:row>
      <xdr:rowOff>41010</xdr:rowOff>
    </xdr:from>
    <xdr:to>
      <xdr:col>9</xdr:col>
      <xdr:colOff>317500</xdr:colOff>
      <xdr:row>25</xdr:row>
      <xdr:rowOff>68036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7024312" y="589645"/>
          <a:ext cx="9290653"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4701887" y="495734"/>
          <a:ext cx="2685402"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23</xdr:row>
      <xdr:rowOff>28695</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1243013</xdr:colOff>
      <xdr:row>1</xdr:row>
      <xdr:rowOff>214312</xdr:rowOff>
    </xdr:from>
    <xdr:to>
      <xdr:col>5</xdr:col>
      <xdr:colOff>1547813</xdr:colOff>
      <xdr:row>6</xdr:row>
      <xdr:rowOff>0</xdr:rowOff>
    </xdr:to>
    <xdr:grpSp>
      <xdr:nvGrpSpPr>
        <xdr:cNvPr id="2" name="Group 1"/>
        <xdr:cNvGrpSpPr/>
      </xdr:nvGrpSpPr>
      <xdr:grpSpPr>
        <a:xfrm>
          <a:off x="3945732" y="333375"/>
          <a:ext cx="5614987" cy="869156"/>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411181</xdr:colOff>
      <xdr:row>29</xdr:row>
      <xdr:rowOff>149186</xdr:rowOff>
    </xdr:from>
    <xdr:to>
      <xdr:col>15</xdr:col>
      <xdr:colOff>367230</xdr:colOff>
      <xdr:row>49</xdr:row>
      <xdr:rowOff>112120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413132</xdr:colOff>
      <xdr:row>50</xdr:row>
      <xdr:rowOff>1</xdr:rowOff>
    </xdr:from>
    <xdr:to>
      <xdr:col>15</xdr:col>
      <xdr:colOff>395460</xdr:colOff>
      <xdr:row>72</xdr:row>
      <xdr:rowOff>390181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5"/>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401656</xdr:colOff>
      <xdr:row>5</xdr:row>
      <xdr:rowOff>57379</xdr:rowOff>
    </xdr:from>
    <xdr:to>
      <xdr:col>15</xdr:col>
      <xdr:colOff>355752</xdr:colOff>
      <xdr:row>29</xdr:row>
      <xdr:rowOff>57378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7"/>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8"/>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9"/>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10"/>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134471</xdr:colOff>
      <xdr:row>28</xdr:row>
      <xdr:rowOff>67235</xdr:rowOff>
    </xdr:from>
    <xdr:to>
      <xdr:col>7</xdr:col>
      <xdr:colOff>683559</xdr:colOff>
      <xdr:row>38</xdr:row>
      <xdr:rowOff>56029</xdr:rowOff>
    </xdr:to>
    <xdr:sp macro="" textlink="">
      <xdr:nvSpPr>
        <xdr:cNvPr id="14" name="TextBox 13"/>
        <xdr:cNvSpPr txBox="1"/>
      </xdr:nvSpPr>
      <xdr:spPr>
        <a:xfrm>
          <a:off x="459442" y="6196853"/>
          <a:ext cx="4190999" cy="2498911"/>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ts val="1400"/>
            </a:lnSpc>
            <a:spcBef>
              <a:spcPts val="0"/>
            </a:spcBef>
            <a:spcAft>
              <a:spcPts val="0"/>
            </a:spcAft>
            <a:buClrTx/>
            <a:buSzTx/>
            <a:buFontTx/>
            <a:buNone/>
            <a:tabLst/>
            <a:defRPr/>
          </a:pPr>
          <a:r>
            <a:rPr lang="en-US" sz="1000">
              <a:solidFill>
                <a:schemeClr val="dk1"/>
              </a:solidFill>
              <a:effectLst/>
              <a:latin typeface="+mn-lt"/>
              <a:ea typeface="+mn-ea"/>
              <a:cs typeface="+mn-cs"/>
            </a:rPr>
            <a:t>The Shelter/NFI/CCCM Cluster was activated in January 2013 in Yangon, and by March 2013 the CCCM Cluster became operational in Rakhine State. Currently two Camp Management Agencies are doing substantial work for the CCCM Cluster in relation to data collection, coordination and monitoring of services, community mobilization, capacity building and information management in a number of camps. In addition, two agencies serve as CCCM Focal Points for the Cluster and thereby ensure a minimum of communication between camp populations and the UNHCR led CCCM Cluster. The ambition of the CCCM Cluster remains to ensure all of the priority camps, camps that contain the majority of IDPs, have a dedicated Camp Management Agency in order to ensure coordinated assistance and protection as according to the rights and needs of IDPs."</a:t>
          </a:r>
          <a:endParaRPr lang="en-US" sz="1000">
            <a:effectLst/>
          </a:endParaRPr>
        </a:p>
        <a:p>
          <a:pPr algn="l"/>
          <a:endParaRPr lang="en-US" sz="800"/>
        </a:p>
      </xdr:txBody>
    </xdr:sp>
    <xdr:clientData/>
  </xdr:twoCellAnchor>
  <xdr:oneCellAnchor>
    <xdr:from>
      <xdr:col>18</xdr:col>
      <xdr:colOff>504825</xdr:colOff>
      <xdr:row>10</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58195</xdr:colOff>
      <xdr:row>5</xdr:row>
      <xdr:rowOff>27779</xdr:rowOff>
    </xdr:from>
    <xdr:to>
      <xdr:col>11</xdr:col>
      <xdr:colOff>261606</xdr:colOff>
      <xdr:row>9</xdr:row>
      <xdr:rowOff>123264</xdr:rowOff>
    </xdr:to>
    <xdr:grpSp>
      <xdr:nvGrpSpPr>
        <xdr:cNvPr id="2" name="Group 1"/>
        <xdr:cNvGrpSpPr/>
      </xdr:nvGrpSpPr>
      <xdr:grpSpPr>
        <a:xfrm>
          <a:off x="383166" y="1417308"/>
          <a:ext cx="6893322" cy="1025574"/>
          <a:chOff x="15065377" y="1682751"/>
          <a:chExt cx="2678784" cy="851830"/>
        </a:xfrm>
      </xdr:grpSpPr>
      <xdr:grpSp>
        <xdr:nvGrpSpPr>
          <xdr:cNvPr id="3" name="Group 2"/>
          <xdr:cNvGrpSpPr/>
        </xdr:nvGrpSpPr>
        <xdr:grpSpPr>
          <a:xfrm>
            <a:off x="15081945" y="2102854"/>
            <a:ext cx="2660494" cy="431727"/>
            <a:chOff x="3986751" y="11244489"/>
            <a:chExt cx="1490310" cy="249072"/>
          </a:xfrm>
          <a:effectLst>
            <a:outerShdw blurRad="63500" sx="102000" sy="102000" algn="ctr" rotWithShape="0">
              <a:prstClr val="black">
                <a:alpha val="40000"/>
              </a:prstClr>
            </a:outerShdw>
          </a:effectLst>
        </xdr:grpSpPr>
        <xdr:sp macro="" textlink="">
          <xdr:nvSpPr>
            <xdr:cNvPr id="4" name="Rectangle 3"/>
            <xdr:cNvSpPr/>
          </xdr:nvSpPr>
          <xdr:spPr>
            <a:xfrm>
              <a:off x="3988617" y="11304651"/>
              <a:ext cx="913779"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86751" y="11244489"/>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 of IDPs</a:t>
              </a:r>
              <a:endParaRPr lang="en-GB" sz="2000" b="1">
                <a:effectLst/>
                <a:latin typeface="+mn-lt"/>
                <a:cs typeface="Calibri" pitchFamily="34" charset="0"/>
              </a:endParaRPr>
            </a:p>
          </xdr:txBody>
        </xdr:sp>
        <xdr:sp macro="" textlink="$L$28">
          <xdr:nvSpPr>
            <xdr:cNvPr id="6" name="Rectangle 5"/>
            <xdr:cNvSpPr/>
          </xdr:nvSpPr>
          <xdr:spPr>
            <a:xfrm>
              <a:off x="4914243" y="11296634"/>
              <a:ext cx="562818"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145062</a:t>
              </a:fld>
              <a:endParaRPr lang="en-US" sz="2000" b="1">
                <a:latin typeface="+mn-lt"/>
              </a:endParaRPr>
            </a:p>
          </xdr:txBody>
        </xdr:sp>
      </xdr:grpSp>
      <xdr:grpSp>
        <xdr:nvGrpSpPr>
          <xdr:cNvPr id="15" name="Group 14"/>
          <xdr:cNvGrpSpPr/>
        </xdr:nvGrpSpPr>
        <xdr:grpSpPr>
          <a:xfrm>
            <a:off x="15065377" y="1682751"/>
            <a:ext cx="2678784" cy="476259"/>
            <a:chOff x="3977474" y="11269985"/>
            <a:chExt cx="1514261" cy="234969"/>
          </a:xfrm>
          <a:effectLst>
            <a:outerShdw blurRad="63500" sx="102000" sy="102000" algn="ctr" rotWithShape="0">
              <a:prstClr val="black">
                <a:alpha val="40000"/>
              </a:prstClr>
            </a:outerShdw>
          </a:effectLst>
        </xdr:grpSpPr>
        <xdr:sp macro="" textlink="$AQ$34">
          <xdr:nvSpPr>
            <xdr:cNvPr id="16" name="Rectangle 15"/>
            <xdr:cNvSpPr/>
          </xdr:nvSpPr>
          <xdr:spPr>
            <a:xfrm>
              <a:off x="4922804" y="11296623"/>
              <a:ext cx="56893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96B4265B-74CF-41C2-BDA5-9C63AF5ED081}" type="TxLink">
                <a:rPr lang="en-US" sz="2000" b="1">
                  <a:latin typeface="+mn-lt"/>
                </a:rPr>
                <a:pPr algn="ctr"/>
                <a:t> 67 </a:t>
              </a:fld>
              <a:endParaRPr lang="en-US" sz="2000" b="1">
                <a:latin typeface="+mn-lt"/>
              </a:endParaRPr>
            </a:p>
          </xdr:txBody>
        </xdr:sp>
        <xdr:sp macro="" textlink="">
          <xdr:nvSpPr>
            <xdr:cNvPr id="17" name="Rectangle 16"/>
            <xdr:cNvSpPr/>
          </xdr:nvSpPr>
          <xdr:spPr>
            <a:xfrm>
              <a:off x="3988723" y="11304641"/>
              <a:ext cx="926146"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77474" y="11269985"/>
              <a:ext cx="78393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2</xdr:col>
      <xdr:colOff>76746</xdr:colOff>
      <xdr:row>39</xdr:row>
      <xdr:rowOff>698</xdr:rowOff>
    </xdr:from>
    <xdr:to>
      <xdr:col>18</xdr:col>
      <xdr:colOff>33617</xdr:colOff>
      <xdr:row>39</xdr:row>
      <xdr:rowOff>11206</xdr:rowOff>
    </xdr:to>
    <xdr:sp macro="" textlink="">
      <xdr:nvSpPr>
        <xdr:cNvPr id="13" name="Line 2"/>
        <xdr:cNvSpPr>
          <a:spLocks noChangeShapeType="1"/>
        </xdr:cNvSpPr>
      </xdr:nvSpPr>
      <xdr:spPr bwMode="auto">
        <a:xfrm>
          <a:off x="401717" y="8730080"/>
          <a:ext cx="11734253" cy="10508"/>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11907</xdr:colOff>
      <xdr:row>39</xdr:row>
      <xdr:rowOff>23881</xdr:rowOff>
    </xdr:from>
    <xdr:to>
      <xdr:col>10</xdr:col>
      <xdr:colOff>153197</xdr:colOff>
      <xdr:row>42</xdr:row>
      <xdr:rowOff>35722</xdr:rowOff>
    </xdr:to>
    <xdr:sp macro="" textlink="">
      <xdr:nvSpPr>
        <xdr:cNvPr id="20" name="TextBox 19"/>
        <xdr:cNvSpPr txBox="1"/>
      </xdr:nvSpPr>
      <xdr:spPr>
        <a:xfrm>
          <a:off x="11907" y="7669858"/>
          <a:ext cx="5232835" cy="444796"/>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                 &amp; other humanitarian organizations</a:t>
          </a:r>
          <a:endParaRPr lang="en-GB" sz="1000">
            <a:latin typeface="+mn-lt"/>
          </a:endParaRPr>
        </a:p>
      </xdr:txBody>
    </xdr:sp>
    <xdr:clientData/>
  </xdr:twoCellAnchor>
  <xdr:twoCellAnchor>
    <xdr:from>
      <xdr:col>10</xdr:col>
      <xdr:colOff>344285</xdr:colOff>
      <xdr:row>39</xdr:row>
      <xdr:rowOff>78912</xdr:rowOff>
    </xdr:from>
    <xdr:to>
      <xdr:col>17</xdr:col>
      <xdr:colOff>717176</xdr:colOff>
      <xdr:row>42</xdr:row>
      <xdr:rowOff>51612</xdr:rowOff>
    </xdr:to>
    <xdr:sp macro="" textlink="">
      <xdr:nvSpPr>
        <xdr:cNvPr id="21" name="TextBox 20"/>
        <xdr:cNvSpPr txBox="1">
          <a:spLocks/>
        </xdr:cNvSpPr>
      </xdr:nvSpPr>
      <xdr:spPr>
        <a:xfrm>
          <a:off x="6585961" y="8808294"/>
          <a:ext cx="5505186" cy="398524"/>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a:t>
          </a:r>
        </a:p>
      </xdr:txBody>
    </xdr:sp>
    <xdr:clientData/>
  </xdr:twoCellAnchor>
  <xdr:twoCellAnchor>
    <xdr:from>
      <xdr:col>12</xdr:col>
      <xdr:colOff>333371</xdr:colOff>
      <xdr:row>3</xdr:row>
      <xdr:rowOff>111125</xdr:rowOff>
    </xdr:from>
    <xdr:to>
      <xdr:col>17</xdr:col>
      <xdr:colOff>460374</xdr:colOff>
      <xdr:row>4</xdr:row>
      <xdr:rowOff>120650</xdr:rowOff>
    </xdr:to>
    <xdr:grpSp>
      <xdr:nvGrpSpPr>
        <xdr:cNvPr id="223" name="Group 222"/>
        <xdr:cNvGrpSpPr/>
      </xdr:nvGrpSpPr>
      <xdr:grpSpPr>
        <a:xfrm>
          <a:off x="8121459" y="861919"/>
          <a:ext cx="3712886" cy="424143"/>
          <a:chOff x="6404638" y="317500"/>
          <a:chExt cx="6282980" cy="575469"/>
        </a:xfrm>
      </xdr:grpSpPr>
      <xdr:pic>
        <xdr:nvPicPr>
          <xdr:cNvPr id="224" name="Picture 22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124546</xdr:colOff>
      <xdr:row>9</xdr:row>
      <xdr:rowOff>231586</xdr:rowOff>
    </xdr:from>
    <xdr:to>
      <xdr:col>7</xdr:col>
      <xdr:colOff>672354</xdr:colOff>
      <xdr:row>27</xdr:row>
      <xdr:rowOff>179293</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76573</xdr:colOff>
      <xdr:row>21</xdr:row>
      <xdr:rowOff>179294</xdr:rowOff>
    </xdr:from>
    <xdr:to>
      <xdr:col>17</xdr:col>
      <xdr:colOff>717176</xdr:colOff>
      <xdr:row>38</xdr:row>
      <xdr:rowOff>78441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298978</xdr:colOff>
      <xdr:row>34</xdr:row>
      <xdr:rowOff>134938</xdr:rowOff>
    </xdr:from>
    <xdr:to>
      <xdr:col>33</xdr:col>
      <xdr:colOff>497418</xdr:colOff>
      <xdr:row>45</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717177</xdr:colOff>
      <xdr:row>28</xdr:row>
      <xdr:rowOff>56029</xdr:rowOff>
    </xdr:from>
    <xdr:to>
      <xdr:col>13</xdr:col>
      <xdr:colOff>930087</xdr:colOff>
      <xdr:row>38</xdr:row>
      <xdr:rowOff>62797</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35344</xdr:colOff>
      <xdr:row>2</xdr:row>
      <xdr:rowOff>0</xdr:rowOff>
    </xdr:from>
    <xdr:to>
      <xdr:col>5</xdr:col>
      <xdr:colOff>395677</xdr:colOff>
      <xdr:row>2</xdr:row>
      <xdr:rowOff>360000</xdr:rowOff>
    </xdr:to>
    <xdr:sp macro="" textlink="">
      <xdr:nvSpPr>
        <xdr:cNvPr id="37" name="Rounded Rectangle 36">
          <a:hlinkClick xmlns:r="http://schemas.openxmlformats.org/officeDocument/2006/relationships" r:id="rId7"/>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0</xdr:colOff>
      <xdr:row>2</xdr:row>
      <xdr:rowOff>0</xdr:rowOff>
    </xdr:from>
    <xdr:to>
      <xdr:col>3</xdr:col>
      <xdr:colOff>360333</xdr:colOff>
      <xdr:row>2</xdr:row>
      <xdr:rowOff>360000</xdr:rowOff>
    </xdr:to>
    <xdr:sp macro="" textlink="">
      <xdr:nvSpPr>
        <xdr:cNvPr id="38" name="Rounded Rectangle 37">
          <a:hlinkClick xmlns:r="http://schemas.openxmlformats.org/officeDocument/2006/relationships" r:id="rId8"/>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104133</xdr:colOff>
      <xdr:row>2</xdr:row>
      <xdr:rowOff>0</xdr:rowOff>
    </xdr:from>
    <xdr:to>
      <xdr:col>10</xdr:col>
      <xdr:colOff>464467</xdr:colOff>
      <xdr:row>2</xdr:row>
      <xdr:rowOff>360000</xdr:rowOff>
    </xdr:to>
    <xdr:sp macro="" textlink="">
      <xdr:nvSpPr>
        <xdr:cNvPr id="39" name="Rounded Rectangle 38">
          <a:hlinkClick xmlns:r="http://schemas.openxmlformats.org/officeDocument/2006/relationships" r:id="rId9"/>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212989</xdr:colOff>
      <xdr:row>2</xdr:row>
      <xdr:rowOff>0</xdr:rowOff>
    </xdr:from>
    <xdr:to>
      <xdr:col>7</xdr:col>
      <xdr:colOff>488656</xdr:colOff>
      <xdr:row>2</xdr:row>
      <xdr:rowOff>360000</xdr:rowOff>
    </xdr:to>
    <xdr:sp macro="" textlink="">
      <xdr:nvSpPr>
        <xdr:cNvPr id="40" name="Rounded Rectangle 39">
          <a:hlinkClick xmlns:r="http://schemas.openxmlformats.org/officeDocument/2006/relationships" r:id="rId10"/>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11</xdr:col>
      <xdr:colOff>34019</xdr:colOff>
      <xdr:row>2</xdr:row>
      <xdr:rowOff>11906</xdr:rowOff>
    </xdr:from>
    <xdr:to>
      <xdr:col>12</xdr:col>
      <xdr:colOff>394352</xdr:colOff>
      <xdr:row>2</xdr:row>
      <xdr:rowOff>371906</xdr:rowOff>
    </xdr:to>
    <xdr:sp macro="" textlink="">
      <xdr:nvSpPr>
        <xdr:cNvPr id="41" name="Rounded Rectangle 40">
          <a:hlinkClick xmlns:r="http://schemas.openxmlformats.org/officeDocument/2006/relationships" r:id="rId11"/>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editAs="oneCell">
    <xdr:from>
      <xdr:col>14</xdr:col>
      <xdr:colOff>78441</xdr:colOff>
      <xdr:row>5</xdr:row>
      <xdr:rowOff>268943</xdr:rowOff>
    </xdr:from>
    <xdr:to>
      <xdr:col>18</xdr:col>
      <xdr:colOff>9525</xdr:colOff>
      <xdr:row>21</xdr:row>
      <xdr:rowOff>168089</xdr:rowOff>
    </xdr:to>
    <xdr:pic>
      <xdr:nvPicPr>
        <xdr:cNvPr id="33" name="Picture 3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401735" y="1658472"/>
          <a:ext cx="2710143" cy="330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575234</xdr:colOff>
      <xdr:row>5</xdr:row>
      <xdr:rowOff>298202</xdr:rowOff>
    </xdr:from>
    <xdr:to>
      <xdr:col>17</xdr:col>
      <xdr:colOff>717020</xdr:colOff>
      <xdr:row>7</xdr:row>
      <xdr:rowOff>49252</xdr:rowOff>
    </xdr:to>
    <xdr:sp macro="" textlink="">
      <xdr:nvSpPr>
        <xdr:cNvPr id="35" name="TextBox 1"/>
        <xdr:cNvSpPr txBox="1">
          <a:spLocks/>
        </xdr:cNvSpPr>
      </xdr:nvSpPr>
      <xdr:spPr>
        <a:xfrm>
          <a:off x="10492440" y="1687731"/>
          <a:ext cx="1598551" cy="400992"/>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Towship</a:t>
          </a:r>
          <a:endParaRPr lang="en-GB" sz="1200" b="1">
            <a:latin typeface="+mn-lt"/>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UNHCRuser" refreshedDate="42275.366899305554" createdVersion="4" refreshedVersion="4" minRefreshableVersion="3" recordCount="27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3">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haredItems>
    </cacheField>
    <cacheField name="Pcode" numFmtId="0">
      <sharedItems/>
    </cacheField>
    <cacheField name="Age_Cat" numFmtId="0">
      <sharedItems count="12">
        <s v="0 &lt; 5"/>
        <s v="6 to 11"/>
        <s v="12 to 17"/>
        <s v="18 to 25"/>
        <s v="26 to 59"/>
        <s v="60+"/>
        <s v="18+" u="1"/>
        <s v="60 +" u="1"/>
        <s v="0 to 5" u="1"/>
        <s v="5 to 11" u="1"/>
        <s v="18 to 59"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 name="Total2" numFmtId="0">
      <sharedItems containsSemiMixedTypes="0" containsString="0" containsNumber="1" containsInteger="1" minValue="-1554" maxValue="1821"/>
    </cacheField>
    <cacheField name="Source" numFmtId="0">
      <sharedItems/>
    </cacheField>
    <cacheField name="Updated Date" numFmtId="170">
      <sharedItems containsSemiMixedTypes="0" containsNonDate="0" containsDate="1" containsString="0" minDate="2015-03-17T00:00:00" maxDate="2015-07-28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293.443021412037" createdVersion="4" refreshedVersion="5" minRefreshableVersion="3" recordCount="184">
  <cacheSource type="worksheet">
    <worksheetSource name="Data_Vulnerability_t"/>
  </cacheSource>
  <cacheFields count="8">
    <cacheField name="State" numFmtId="0">
      <sharedItems/>
    </cacheField>
    <cacheField name="Township" numFmtId="0">
      <sharedItems/>
    </cacheField>
    <cacheField name="Camp Name" numFmtId="0">
      <sharedItems/>
    </cacheField>
    <cacheField name="Pcode" numFmtId="0">
      <sharedItems/>
    </cacheField>
    <cacheField name="Vulnerability" numFmtId="0">
      <sharedItems count="15">
        <s v="Children at Risk"/>
        <s v="Separated chidlren"/>
        <s v="Unaccompanied children"/>
        <s v="Single Parent"/>
        <s v="Women at Risk"/>
        <s v="Elderly at Risk"/>
        <s v="Disabilities"/>
        <s v="Serious Medical Conditions"/>
        <s v="Mental dis. " u="1"/>
        <s v="Child HH" u="1"/>
        <s v="Single Parent Female" u="1"/>
        <s v="Pregnant Women" u="1"/>
        <s v="Single Parent Male" u="1"/>
        <s v="Physical dis." u="1"/>
        <s v="Lactating Women" u="1"/>
      </sharedItems>
    </cacheField>
    <cacheField name="Total" numFmtId="0">
      <sharedItems containsString="0" containsBlank="1" containsNumber="1" containsInteger="1" minValue="0" maxValue="640"/>
    </cacheField>
    <cacheField name="Source" numFmtId="0">
      <sharedItems/>
    </cacheField>
    <cacheField name="Updated date" numFmtId="170">
      <sharedItems containsSemiMixedTypes="0" containsNonDate="0" containsDate="1" containsString="0" minDate="2015-03-01T00:00:00" maxDate="2015-07-28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293.446245023151"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hi Thi Lwin" refreshedDate="42328.621364467595" createdVersion="4" refreshedVersion="5" minRefreshableVersion="3" recordCount="276">
  <cacheSource type="worksheet">
    <worksheetSource ref="B1:G277" sheet="Age-Sex Breakdown per Camp"/>
  </cacheSource>
  <cacheFields count="6">
    <cacheField name="Township" numFmtId="0">
      <sharedItems count="3">
        <s v="Pauktaw"/>
        <s v="Sittwe"/>
        <s v="Myebon"/>
      </sharedItems>
    </cacheField>
    <cacheField name="Camp" numFmtId="0">
      <sharedItems count="31">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 v="Ohn Taw Gyi Chay" u="1"/>
        <s v="Set Yoe Kya 1" u="1"/>
        <s v="Thet Kal Pyin" u="1"/>
        <s v="Maw Ti Nyar" u="1"/>
        <s v="Set Yoe Kya 2" u="1"/>
        <s v="Kon Doke Khar" u="1"/>
        <s v="Basara" u="1"/>
        <s v="Dar Paing" u="1"/>
      </sharedItems>
    </cacheField>
    <cacheField name="Pcode" numFmtId="0">
      <sharedItems/>
    </cacheField>
    <cacheField name="Age_Cat" numFmtId="0">
      <sharedItems count="12">
        <s v="0 &lt; 5"/>
        <s v="6 to 11"/>
        <s v="12 to 17"/>
        <s v="18 to 25"/>
        <s v="26 to 59"/>
        <s v="60+"/>
        <s v="60 +" u="1"/>
        <s v="0 to 5" u="1"/>
        <s v="18 to 59" u="1"/>
        <s v="18+" u="1"/>
        <s v="5 to 11"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2367.494094444446" createdVersion="4" refreshedVersion="5" minRefreshableVersion="3" recordCount="389">
  <cacheSource type="worksheet">
    <worksheetSource name="Data_NFI_t"/>
  </cacheSource>
  <cacheFields count="33">
    <cacheField name="Months" numFmtId="1">
      <sharedItems containsSemiMixedTypes="0" containsString="0" containsNumber="1" minValue="-2.4333333333333331" maxValue="41.733333333333334" count="666">
        <n v="-0.26666666666666666"/>
        <n v="0.26666666666666666"/>
        <n v="0.4"/>
        <n v="0.43333333333333335"/>
        <n v="10.966666666666667"/>
        <n v="1.8"/>
        <n v="2.5"/>
        <n v="3.7"/>
        <n v="3.8333333333333335"/>
        <n v="4.333333333333333"/>
        <n v="9.0333333333333332"/>
        <n v="4.833333333333333"/>
        <n v="5.2666666666666666"/>
        <n v="5.3"/>
        <n v="5.333333333333333"/>
        <n v="5.3666666666666663"/>
        <n v="5.7666666666666666"/>
        <n v="5.8"/>
        <n v="6.5"/>
        <n v="6.7666666666666666"/>
        <n v="6.9333333333333336"/>
        <n v="6.9666666666666668"/>
        <n v="7.2666666666666666"/>
        <n v="8.6999999999999993"/>
        <n v="10.466666666666667"/>
        <n v="9.1666666666666661"/>
        <n v="9.4666666666666668"/>
        <n v="10.1"/>
        <n v="10.199999999999999"/>
        <n v="7"/>
        <n v="5.6333333333333337"/>
        <n v="11.133333333333333"/>
        <n v="11.433333333333334"/>
        <n v="11.6"/>
        <n v="11.633333333333333"/>
        <n v="11.733333333333333"/>
        <n v="14.633333333333333"/>
        <n v="14.666666666666666"/>
        <n v="14.7"/>
        <n v="15.333333333333334"/>
        <n v="15.4"/>
        <n v="15.8"/>
        <n v="16.233333333333334"/>
        <n v="16.600000000000001"/>
        <n v="17.833333333333332"/>
        <n v="18.033333333333335"/>
        <n v="20.3"/>
        <n v="21.333333333333332"/>
        <n v="22.3"/>
        <n v="22.8"/>
        <n v="22.833333333333332"/>
        <n v="23.133333333333333"/>
        <n v="23.266666666666666"/>
        <n v="23.333333333333332"/>
        <n v="23.933333333333334"/>
        <n v="23.966666666666665"/>
        <n v="24.2"/>
        <n v="24.733333333333334"/>
        <n v="24.9"/>
        <n v="24.933333333333334"/>
        <n v="24.966666666666665"/>
        <n v="25.366666666666667"/>
        <n v="25.466666666666665"/>
        <n v="25.666666666666668"/>
        <n v="25.8"/>
        <n v="25.833333333333332"/>
        <n v="26.766666666666666"/>
        <n v="26.8"/>
        <n v="27"/>
        <n v="27.533333333333335"/>
        <n v="28"/>
        <n v="28.166666666666668"/>
        <n v="29.133333333333333"/>
        <n v="29.166666666666668"/>
        <n v="29.266666666666666"/>
        <n v="29.433333333333334"/>
        <n v="29.6"/>
        <n v="30.533333333333335"/>
        <n v="30.566666666666666"/>
        <n v="30.6"/>
        <n v="30.733333333333334"/>
        <n v="30.766666666666666"/>
        <n v="31.5"/>
        <n v="31.533333333333335"/>
        <n v="31.633333333333333"/>
        <n v="31.7"/>
        <n v="32.1"/>
        <n v="32.166666666666664"/>
        <n v="32.200000000000003"/>
        <n v="32.333333333333336"/>
        <n v="32.366666666666667"/>
        <n v="32.4"/>
        <n v="32.43333333333333"/>
        <n v="33.06666666666667"/>
        <n v="33.366666666666667"/>
        <n v="33.43333333333333"/>
        <n v="33.5"/>
        <n v="33.56666666666667"/>
        <n v="33.733333333333334"/>
        <n v="33.766666666666666"/>
        <n v="33.966666666666669"/>
        <n v="34"/>
        <n v="34.200000000000003"/>
        <n v="34.43333333333333"/>
        <n v="34.5"/>
        <n v="34.700000000000003"/>
        <n v="34.799999999999997"/>
        <n v="34.9"/>
        <n v="34.93333333333333"/>
        <n v="35.166666666666664"/>
        <n v="35.200000000000003"/>
        <n v="35.266666666666666"/>
        <n v="35.466666666666669"/>
        <n v="35.733333333333334"/>
        <n v="35.766666666666666"/>
        <n v="35.93333333333333"/>
        <n v="35.966666666666669"/>
        <n v="36"/>
        <n v="36.033333333333331"/>
        <n v="36.06666666666667"/>
        <n v="36.1"/>
        <n v="36.133333333333333"/>
        <n v="36.200000000000003"/>
        <n v="36.366666666666667"/>
        <n v="36.43333333333333"/>
        <n v="36.533333333333331"/>
        <n v="36.833333333333336"/>
        <n v="36.9"/>
        <n v="37.43333333333333"/>
        <n v="37.466666666666669"/>
        <n v="37.5"/>
        <n v="37.533333333333331"/>
        <n v="38.333333333333336"/>
        <n v="38.366666666666667"/>
        <n v="39.333333333333336"/>
        <n v="39.4"/>
        <n v="39.533333333333331"/>
        <n v="39.766666666666666"/>
        <n v="39.833333333333336"/>
        <n v="40.43333333333333"/>
        <n v="40.633333333333333"/>
        <n v="40.666666666666664"/>
        <n v="40.93333333333333"/>
        <n v="40.966666666666669"/>
        <n v="41"/>
        <n v="41.033333333333331"/>
        <n v="41.06666666666667"/>
        <n v="41.1"/>
        <n v="41.133333333333333"/>
        <n v="41.233333333333334"/>
        <n v="41.266666666666666"/>
        <n v="41.3"/>
        <n v="41.333333333333336"/>
        <n v="41.4"/>
        <n v="41.466666666666669"/>
        <n v="41.633333333333333"/>
        <n v="41.666666666666664"/>
        <n v="41.7"/>
        <n v="41.733333333333334"/>
        <n v="4.3666666666666663"/>
        <n v="1.1666666666666667"/>
        <n v="0.93333333333333335"/>
        <n v="0" u="1"/>
        <n v="24.033333333333335" u="1"/>
        <n v="28.7" u="1"/>
        <n v="34.733333333333334" u="1"/>
        <n v="15.833333333333334" u="1"/>
        <n v="20.333333333333332" u="1"/>
        <n v="25" u="1"/>
        <n v="21.3" u="1"/>
        <n v="12.133333333333333" u="1"/>
        <n v="30.4" u="1"/>
        <n v="39.1" u="1"/>
        <n v="8.4333333333333336" u="1"/>
        <n v="31.366666666666667" u="1"/>
        <n v="1.3333333333333333" u="1"/>
        <n v="19.3" u="1"/>
        <n v="33.166666666666664" u="1"/>
        <n v="23.733333333333334" u="1"/>
        <n v="28.4" u="1"/>
        <n v="35.1" u="1"/>
        <n v="20.033333333333335" u="1"/>
        <n v="29.366666666666667" u="1"/>
        <n v="1.5" u="1"/>
        <n v="13.833333333333334" u="1"/>
        <n v="21" u="1"/>
        <n v="3.7666666666666666" u="1"/>
        <n v="10.133333333333333" u="1"/>
        <n v="30.1" u="1"/>
        <n v="26.4" u="1"/>
        <n v="22.7" u="1"/>
        <n v="12.833333333333334" u="1"/>
        <n v="39.966666666666669" u="1"/>
        <n v="2.9333333333333331" u="1"/>
        <n v="4.2" u="1"/>
        <n v="32.56666666666667" u="1"/>
        <n v="28.1" u="1"/>
        <n v="33.533333333333331" u="1"/>
        <n v="-1.1666666666666667" u="1"/>
        <n v="19.733333333333334" u="1"/>
        <n v="29.066666666666666" u="1"/>
        <n v="0.46666666666666667" u="1"/>
        <n v="20.7" u="1"/>
        <n v="0.83333333333333337" u="1"/>
        <n v="14.166666666666666" u="1"/>
        <n v="3.2666666666666666" u="1"/>
        <n v="6.9" u="1"/>
        <n v="26.1" u="1"/>
        <n v="22.4" u="1"/>
        <n v="27.066666666666666" u="1"/>
        <n v="23.366666666666667" u="1"/>
        <n v="40.333333333333336" u="1"/>
        <n v="3.6" u="1"/>
        <n v="32.93333333333333" u="1"/>
        <n v="33.9" u="1"/>
        <n v="28.766666666666666" u="1"/>
        <n v="34.866666666666667" u="1"/>
        <n v="15.866666666666667" u="1"/>
        <n v="20.399999999999999" u="1"/>
        <n v="25.066666666666666" u="1"/>
        <n v="16.7" u="1"/>
        <n v="12.166666666666666" u="1"/>
        <n v="36.333333333333336" u="1"/>
        <n v="37.299999999999997" u="1"/>
        <n v="39.233333333333334" u="1"/>
        <n v="8.4666666666666668" u="1"/>
        <n v="31.433333333333334" u="1"/>
        <n v="23.066666666666666" u="1"/>
        <n v="0.3" u="1"/>
        <n v="19.366666666666667" u="1"/>
        <n v="40.700000000000003" u="1"/>
        <n v="11.166666666666666" u="1"/>
        <n v="33.299999999999997" u="1"/>
        <n v="1.9666666666666666" u="1"/>
        <n v="34.266666666666666" u="1"/>
        <n v="35.233333333333334" u="1"/>
        <n v="6.5666666666666664" u="1"/>
        <n v="24.766666666666666" u="1"/>
        <n v="16.399999999999999" u="1"/>
        <n v="21.066666666666666" u="1"/>
        <n v="-2.1" u="1"/>
        <n v="30.166666666666668" u="1"/>
        <n v="38.633333333333333" u="1"/>
        <n v="-0.23333333333333334" u="1"/>
        <n v="39.6" u="1"/>
        <n v="4.9000000000000004" u="1"/>
        <n v="18.100000000000001" u="1"/>
        <n v="15.2" u="1"/>
        <n v="-2.4333333333333331" u="1"/>
        <n v="-1.6333333333333333" u="1"/>
        <n v="0.66666666666666663" u="1"/>
        <n v="33.666666666666664" u="1"/>
        <n v="2.6" u="1"/>
        <n v="24.466666666666665" u="1"/>
        <n v="35.6" u="1"/>
        <n v="20.766666666666666" u="1"/>
        <n v="25.433333333333334" u="1"/>
        <n v="14.2" u="1"/>
        <n v="8.1666666666666661" u="1"/>
        <n v="10.5" u="1"/>
        <n v="39" u="1"/>
        <n v="22.466666666666665" u="1"/>
        <n v="27.133333333333333" u="1"/>
        <n v="23.433333333333334" u="1"/>
        <n v="13.2" u="1"/>
        <n v="40.466666666666669" u="1"/>
        <n v="-1.9666666666666666" u="1"/>
        <n v="34.033333333333331" u="1"/>
        <n v="28.833333333333332" u="1"/>
        <n v="35" u="1"/>
        <n v="29.8" u="1"/>
        <n v="16.766666666666666" u="1"/>
        <n v="21.433333333333334" u="1"/>
        <n v="12.2" u="1"/>
        <n v="14.533333333333333" u="1"/>
        <n v="36.466666666666669" u="1"/>
        <n v="38.4" u="1"/>
        <n v="39.366666666666667" u="1"/>
        <n v="22.166666666666668" u="1"/>
        <n v="18.466666666666665" u="1"/>
        <n v="27.8" u="1"/>
        <n v="5.2333333333333334" u="1"/>
        <n v="19.433333333333334" u="1"/>
        <n v="-0.66666666666666663" u="1"/>
        <n v="32.466666666666669" u="1"/>
        <n v="28.533333333333335" u="1"/>
        <n v="34.4" u="1"/>
        <n v="35.366666666666667" u="1"/>
        <n v="24.833333333333332" u="1"/>
        <n v="29.5" u="1"/>
        <n v="21.133333333333333" u="1"/>
        <n v="4.7333333333333334" u="1"/>
        <n v="30.233333333333334" u="1"/>
        <n v="37.799999999999997" u="1"/>
        <n v="38.766666666666666" u="1"/>
        <n v="26.533333333333335" u="1"/>
        <n v="31.2" u="1"/>
        <n v="0.5" u="1"/>
        <n v="15.233333333333333" u="1"/>
        <n v="23.8" u="1"/>
        <n v="3.5333333333333332" u="1"/>
        <n v="32.833333333333336" u="1"/>
        <n v="7.4333333333333336" u="1"/>
        <n v="9.1999999999999993" u="1"/>
        <n v="28.233333333333334" u="1"/>
        <n v="33.799999999999997" u="1"/>
        <n v="34.766666666666666" u="1"/>
        <n v="25.5" u="1"/>
        <n v="14.233333333333333" u="1"/>
        <n v="21.8" u="1"/>
        <n v="2.7" u="1"/>
        <n v="26.233333333333334" u="1"/>
        <n v="40.1" u="1"/>
        <n v="27.2" u="1"/>
        <n v="18.833333333333332" u="1"/>
        <n v="23.5" u="1"/>
        <n v="33.200000000000003" u="1"/>
        <n v="34.166666666666664" u="1"/>
        <n v="24.233333333333334" u="1"/>
        <n v="35.133333333333333" u="1"/>
        <n v="29.866666666666667" u="1"/>
        <n v="16.833333333333332" u="1"/>
        <n v="14.566666666666666" u="1"/>
        <n v="2.2000000000000002" u="1"/>
        <n v="3.3666666666666667" u="1"/>
        <n v="38.533333333333331" u="1"/>
        <n v="5.9333333333333336" u="1"/>
        <n v="8.5333333333333332" u="1"/>
        <n v="22.233333333333334" u="1"/>
        <n v="23.2" u="1"/>
        <n v="27.866666666666667" u="1"/>
        <n v="28.6" u="1"/>
        <n v="34.533333333333331" u="1"/>
        <n v="35.5" u="1"/>
        <n v="29.566666666666666" u="1"/>
        <n v="21.2" u="1"/>
        <n v="25.866666666666667" u="1"/>
        <n v="38.9" u="1"/>
        <n v="31.266666666666666" u="1"/>
        <n v="4.9333333333333336" u="1"/>
        <n v="22.9" u="1"/>
        <n v="27.566666666666666" u="1"/>
        <n v="32.966666666666669" u="1"/>
        <n v="9.2333333333333325" u="1"/>
        <n v="33.93333333333333" u="1"/>
        <n v="24.6" u="1"/>
        <n v="20.9" u="1"/>
        <n v="37.333333333333336" u="1"/>
        <n v="0.9" u="1"/>
        <n v="39.266666666666666" u="1"/>
        <n v="40.233333333333334" u="1"/>
        <n v="22.6" u="1"/>
        <n v="27.266666666666666" u="1"/>
        <n v="31.933333333333334" u="1"/>
        <n v="5.0999999999999996" u="1"/>
        <n v="6.2666666666666666" u="1"/>
        <n v="23.566666666666666" u="1"/>
        <n v="15.6" u="1"/>
        <n v="19.866666666666667" u="1"/>
        <n v="33.333333333333336" u="1"/>
        <n v="9.5666666666666664" u="1"/>
        <n v="29.933333333333334" u="1"/>
        <n v="17.866666666666667" u="1"/>
        <n v="39.633333333333333" u="1"/>
        <n v="8.5666666666666664" u="1"/>
        <n v="26.966666666666665" u="1"/>
        <n v="32.233333333333334" u="1"/>
        <n v="27.933333333333334" u="1"/>
        <n v="3.4666666666666668" u="1"/>
        <n v="4.0999999999999996" u="1"/>
        <n v="19.566666666666666" u="1"/>
        <n v="13.6" u="1"/>
        <n v="33.700000000000003" u="1"/>
        <n v="0.56666666666666665" u="1"/>
        <n v="35.633333333333333" u="1"/>
        <n v="9.9" u="1"/>
        <n v="29.633333333333333" u="1"/>
        <n v="21.266666666666666" u="1"/>
        <n v="4.7666666666666666" u="1"/>
        <n v="12.6" u="1"/>
        <n v="39.033333333333331" u="1"/>
        <n v="26.666666666666668" u="1"/>
        <n v="31.333333333333332" u="1"/>
        <n v="40" u="1"/>
        <n v="22.966666666666665" u="1"/>
        <n v="27.633333333333333" u="1"/>
        <n v="19.266666666666666" u="1"/>
        <n v="4.2666666666666666" u="1"/>
        <n v="34.06666666666667" u="1"/>
        <n v="35.033333333333331" u="1"/>
        <n v="24.666666666666668" u="1"/>
        <n v="29.333333333333332" u="1"/>
        <n v="20.966666666666665" u="1"/>
        <n v="25.633333333333333" u="1"/>
        <n v="30.3" u="1"/>
        <n v="21.933333333333334" u="1"/>
        <n v="3.3" u="1"/>
        <n v="10.6" u="1"/>
        <n v="31.033333333333335" u="1"/>
        <n v="27.333333333333332" u="1"/>
        <n v="23.633333333333333" u="1"/>
        <n v="28.3" u="1"/>
        <n v="13.3" u="1"/>
        <n v="15.633333333333333" u="1"/>
        <n v="9.6" u="1"/>
        <n v="11.933333333333334" u="1"/>
        <n v="35.4" u="1"/>
        <n v="20.666666666666668" u="1"/>
        <n v="30" u="1"/>
        <n v="26.3" u="1"/>
        <n v="-0.16666666666666666" u="1"/>
        <n v="2.8" u="1"/>
        <n v="7.1333333333333337" u="1"/>
        <n v="8.6" u="1"/>
        <n v="27.033333333333335" u="1"/>
        <n v="40.733333333333334" u="1"/>
        <n v="18.666666666666668" u="1"/>
        <n v="19.633333333333333" u="1"/>
        <n v="24.3" u="1"/>
        <n v="0.8" u="1"/>
        <n v="13.633333333333333" u="1"/>
        <n v="28.733333333333334" u="1"/>
        <n v="26" u="1"/>
        <n v="12.633333333333333" u="1"/>
        <n v="2.2999999999999998" u="1"/>
        <n v="31.4" u="1"/>
        <n v="40.133333333333333" u="1"/>
        <n v="8.9333333333333336" u="1"/>
        <n v="23.033333333333335" u="1"/>
        <n v="32.733333333333334" u="1"/>
        <n v="9.3000000000000007" u="1"/>
        <n v="29.4" u="1"/>
        <n v="21.033333333333335" u="1"/>
        <n v="25.7" u="1"/>
        <n v="30.366666666666667" u="1"/>
        <n v="14.333333333333334" u="1"/>
        <n v="17.333333333333332" u="1"/>
        <n v="18.3" u="1"/>
        <n v="10.633333333333333" u="1"/>
        <n v="31.1" u="1"/>
        <n v="27.4" u="1"/>
        <n v="33.1" u="1"/>
        <n v="15.666666666666666" u="1"/>
        <n v="34.56666666666667" u="1"/>
        <n v="29.1" u="1"/>
        <n v="35.533333333333331" u="1"/>
        <n v="36.5" u="1"/>
        <n v="25.4" u="1"/>
        <n v="30.066666666666666" u="1"/>
        <n v="17.033333333333335" u="1"/>
        <n v="26.366666666666667" u="1"/>
        <n v="18" u="1"/>
        <n v="38.93333333333333" u="1"/>
        <n v="27.1" u="1"/>
        <n v="32.5" u="1"/>
        <n v="23.4" u="1"/>
        <n v="28.066666666666666" u="1"/>
        <n v="19.7" u="1"/>
        <n v="24.366666666666667" u="1"/>
        <n v="13.666666666666666" u="1"/>
        <n v="16" u="1"/>
        <n v="35.9" u="1"/>
        <n v="9.9666666666666668" u="1"/>
        <n v="29.766666666666666" u="1"/>
        <n v="16.733333333333334" u="1"/>
        <n v="26.066666666666666" u="1"/>
        <n v="4.8" u="1"/>
        <n v="5.9666666666666668" u="1"/>
        <n v="17.7" u="1"/>
        <n v="22.366666666666667" u="1"/>
        <n v="12.666666666666666" u="1"/>
        <n v="15" u="1"/>
        <n v="39.299999999999997" u="1"/>
        <n v="31.466666666666665" u="1"/>
        <n v="40.266666666666666" u="1"/>
        <n v="32.866666666666667" u="1"/>
        <n v="19.399999999999999" u="1"/>
        <n v="24.066666666666666" u="1"/>
        <n v="3.5666666666666669" u="1"/>
        <n v="4.3" u="1"/>
        <n v="5.4666666666666668" u="1"/>
        <n v="20.366666666666667" u="1"/>
        <n v="11.666666666666666" u="1"/>
        <n v="34.333333333333336" u="1"/>
        <n v="35.299999999999997" u="1"/>
        <n v="29.466666666666665" u="1"/>
        <n v="21.1" u="1"/>
        <n v="25.766666666666666" u="1"/>
        <n v="30.433333333333334" u="1"/>
        <n v="22.066666666666666" u="1"/>
        <n v="31.166666666666668" u="1"/>
        <n v="39.666666666666664" u="1"/>
        <n v="27.466666666666665" u="1"/>
        <n v="32.266666666666666" u="1"/>
        <n v="33.233333333333334" u="1"/>
        <n v="23.766666666666666" u="1"/>
        <n v="28.433333333333334" u="1"/>
        <n v="13.366666666666667" u="1"/>
        <n v="3.0666666666666669" u="1"/>
        <n v="4.4666666666666668" u="1"/>
        <n v="7.666666666666667" u="1"/>
        <n v="12" u="1"/>
        <n v="30.133333333333333" u="1"/>
        <n v="0.8666666666666667" u="1"/>
        <n v="39.06666666666667" u="1"/>
        <n v="40.033333333333331" u="1"/>
        <n v="27.166666666666668" u="1"/>
        <n v="28.133333333333333" u="1"/>
        <n v="33.6" u="1"/>
        <n v="24.433333333333334" u="1"/>
        <n v="13.7" u="1"/>
        <n v="16.066666666666666" u="1"/>
        <n v="3.7333333333333334" u="1"/>
        <n v="35.06666666666667" u="1"/>
        <n v="6.666666666666667" u="1"/>
        <n v="29.833333333333332" u="1"/>
        <n v="21.466666666666665" u="1"/>
        <n v="26.133333333333333" u="1"/>
        <n v="30.8" u="1"/>
        <n v="22.433333333333334" u="1"/>
        <n v="39.43333333333333" u="1"/>
        <n v="40.4" u="1"/>
        <n v="23.166666666666668" u="1"/>
        <n v="27.833333333333332" u="1"/>
        <n v="33" u="1"/>
        <n v="19.466666666666665" u="1"/>
        <n v="24.133333333333333" u="1"/>
        <n v="28.8" u="1"/>
        <n v="11.7" u="1"/>
        <n v="34.466666666666669" u="1"/>
        <n v="35.43333333333333" u="1"/>
        <n v="2.0666666666666669" u="1"/>
        <n v="3.2333333333333334" u="1"/>
        <n v="29.533333333333335" u="1"/>
        <n v="37.366666666666667" u="1"/>
        <n v="-0.8666666666666667" u="1"/>
        <n v="30.5" u="1"/>
        <n v="22.133333333333333" u="1"/>
        <n v="38.833333333333336" u="1"/>
        <n v="28.5" u="1"/>
        <n v="24.8" u="1"/>
        <n v="34.833333333333336" u="1"/>
        <n v="9.6999999999999993" u="1"/>
        <n v="25.533333333333335" u="1"/>
        <n v="30.2" u="1"/>
        <n v="37.733333333333334" u="1"/>
        <n v="4.666666666666667" u="1"/>
        <n v="17.166666666666668" u="1"/>
        <n v="21.833333333333332" u="1"/>
        <n v="18.133333333333333" u="1"/>
        <n v="39.200000000000003" u="1"/>
        <n v="27.233333333333334" u="1"/>
        <n v="32.766666666666666" u="1"/>
        <n v="28.2" u="1"/>
        <n v="24.5" u="1"/>
        <n v="20.8" u="1"/>
        <n v="25.233333333333334" u="1"/>
        <n v="29.9" u="1"/>
        <n v="18.8" u="1"/>
        <n v="27.9" u="1"/>
        <n v="33.133333333333333" u="1"/>
        <n v="34.1" u="1"/>
        <n v="5.5" u="1"/>
        <n v="20.5" u="1"/>
        <n v="16.8" u="1"/>
        <n v="-1.2" u="1"/>
        <n v="35.56666666666667" u="1"/>
        <n v="8.0333333333333332" u="1"/>
        <n v="21.233333333333334" u="1"/>
        <n v="17.533333333333335" u="1"/>
        <n v="3.3333333333333335" u="1"/>
        <n v="38.966666666666669" u="1"/>
        <n v="10.733333333333333" u="1"/>
        <n v="13.066666666666666" u="1"/>
        <n v="39.93333333333333" u="1"/>
        <n v="-1.3666666666666667" u="1"/>
        <n v="27.6" u="1"/>
        <n v="32.533333333333331" u="1"/>
        <n v="23.9" u="1"/>
        <n v="28.566666666666666" u="1"/>
        <n v="24.866666666666667" u="1"/>
        <n v="34.966666666666669" u="1"/>
        <n v="14.4" u="1"/>
        <n v="25.6" u="1"/>
        <n v="30.266666666666666" u="1"/>
        <n v="17.233333333333334" u="1"/>
        <n v="21.9" u="1"/>
        <n v="26.566666666666666" u="1"/>
        <n v="1.0333333333333334" u="1"/>
        <n v="22.866666666666667" u="1"/>
        <n v="2.8333333333333335" u="1"/>
        <n v="4" u="1"/>
        <n v="40.299999999999997" u="1"/>
        <n v="31.966666666666665" u="1"/>
        <n v="32.9" u="1"/>
        <n v="28.266666666666666" u="1"/>
        <n v="13.766666666666667" u="1"/>
        <n v="16.2" u="1"/>
        <n v="36.299999999999997" u="1"/>
        <n v="29.966666666666665" u="1"/>
        <n v="26.266666666666666" u="1"/>
        <n v="18.866666666666667" u="1"/>
        <n v="39.700000000000003" u="1"/>
        <n v="2.3333333333333335" u="1"/>
        <n v="3.5" u="1"/>
        <n v="32.299999999999997" u="1"/>
        <n v="27.966666666666665" u="1"/>
        <n v="-0.93333333333333335" u="1"/>
        <n v="33.266666666666666" u="1"/>
        <n v="19.600000000000001" u="1"/>
        <n v="24.266666666666666" u="1"/>
        <n v="20.566666666666666" u="1"/>
        <n v="16.866666666666667" u="1"/>
        <n v="29.666666666666668" u="1"/>
        <n v="8.0666666666666664" u="1"/>
        <n v="25.966666666666665" u="1"/>
        <n v="30.633333333333333" u="1"/>
        <n v="38.6" u="1"/>
        <n v="-1.0333333333333334" u="1"/>
        <n v="22.266666666666666" u="1"/>
        <n v="40.06666666666667" u="1"/>
        <n v="3" u="1"/>
        <n v="27.666666666666668" u="1"/>
        <n v="32.666666666666664" u="1"/>
        <n v="9.4" u="1"/>
        <n v="28.633333333333333" u="1"/>
        <n v="20.266666666666666" u="1"/>
        <n v="30.333333333333332" u="1"/>
        <n v="14.8" u="1"/>
        <n v="18.266666666666666" u="1"/>
        <n v="22.933333333333334" u="1"/>
        <n v="32.06666666666667" u="1"/>
        <n v="1.6666666666666667" u="1"/>
        <n v="23.666666666666668" u="1"/>
        <n v="28.333333333333332" u="1"/>
        <n v="6.5333333333333332" u="1"/>
        <n v="7.7" u="1"/>
        <n v="24.633333333333333" u="1"/>
        <n v="29.3" u="1"/>
        <n v="13.8" u="1"/>
        <n v="30.033333333333335" u="1"/>
        <n v="26.333333333333332" u="1"/>
        <n v="4.8666666666666663" u="1"/>
        <n v="7.2" u="1"/>
        <n v="22.633333333333333" u="1"/>
        <n v="12.8" u="1"/>
        <n v="15.133333333333333" u="1"/>
        <n v="31.733333333333334" u="1"/>
        <n v="9.1" u="1"/>
        <n v="24.333333333333332" u="1"/>
        <n v="5.5333333333333332" u="1"/>
        <n v="6.7" u="1"/>
        <n v="25.3" u="1"/>
        <n v="35.833333333333336" u="1"/>
        <n v="29.733333333333334" u="1"/>
        <n v="0.6" u="1"/>
        <n v="8.1" u="1"/>
        <n v="10.433333333333334" u="1"/>
        <n v="30.7" u="1"/>
        <n v="17.666666666666668" u="1"/>
        <n v="22.333333333333332" u="1"/>
        <n v="5.0333333333333332" u="1"/>
        <n v="18.633333333333333" u="1"/>
        <n v="23.3" u="1"/>
        <n v="-1.6666666666666667" u="1"/>
        <n v="32.799999999999997" u="1"/>
      </sharedItems>
    </cacheField>
    <cacheField name="year" numFmtId="1">
      <sharedItems containsSemiMixedTypes="0" containsString="0" containsNumber="1" containsInteger="1" minValue="2012" maxValue="2015"/>
    </cacheField>
    <cacheField name="Distribution Date" numFmtId="15">
      <sharedItems containsSemiMixedTypes="0" containsNonDate="0" containsDate="1" containsString="0" minDate="2012-06-27T00:00:00" maxDate="2015-12-10T00:00:00"/>
    </cacheField>
    <cacheField name="Organization" numFmtId="0">
      <sharedItems containsBlank="1" count="17">
        <s v="MRCS"/>
        <s v="LWF"/>
        <s v="IOM"/>
        <s v="UNHCR"/>
        <s v="DRC"/>
        <s v="Save the Children"/>
        <s v="RI"/>
        <s v="CDN"/>
        <s v="AGE"/>
        <s v="UNFPA"/>
        <s v="Muslim Aid"/>
        <s v="Solidarites International"/>
        <s v="UNICEF "/>
        <s v="KOICAT"/>
        <s v="ABCD"/>
        <m u="1"/>
        <s v="SCI" u="1"/>
      </sharedItems>
    </cacheField>
    <cacheField name="Implementing Partner" numFmtId="0">
      <sharedItems containsBlank="1"/>
    </cacheField>
    <cacheField name="State" numFmtId="0">
      <sharedItems containsBlank="1" count="2">
        <s v="Rakhine"/>
        <m u="1"/>
      </sharedItems>
    </cacheField>
    <cacheField name="Township" numFmtId="0">
      <sharedItems containsBlank="1" count="11">
        <s v="Sittwe"/>
        <s v="Pauktaw"/>
        <s v="Maungdaw"/>
        <s v="Kyauktaw"/>
        <s v="Minbya"/>
        <s v="Mrauk_U"/>
        <s v="Rathedaung"/>
        <s v="Myebon"/>
        <s v="Kyauk_Phyu"/>
        <s v="Ramree"/>
        <m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1">
      <sharedItems containsString="0" containsBlank="1" containsNumber="1" containsInteger="1" minValue="0" maxValue="2145"/>
    </cacheField>
    <cacheField name="Plastic Mat" numFmtId="0">
      <sharedItems containsBlank="1" containsMixedTypes="1" containsNumber="1" containsInteger="1" minValue="0" maxValue="12020"/>
    </cacheField>
    <cacheField name="Hygiene Kit_LS" numFmtId="0">
      <sharedItems containsSemiMixedTypes="0" containsString="0" containsNumber="1" containsInteger="1" minValue="0" maxValue="1020"/>
    </cacheField>
    <cacheField name="NFI Core Kit_LS" numFmtId="0">
      <sharedItems containsSemiMixedTypes="0" containsString="0" containsNumber="1" containsInteger="1" minValue="0" maxValue="2145"/>
    </cacheField>
    <cacheField name="Sanitary Kit_LS" numFmtId="0">
      <sharedItems containsSemiMixedTypes="0" containsString="0" containsNumber="1" containsInteger="1" minValue="0" maxValue="315"/>
    </cacheField>
    <cacheField name="Mosquito net_LS" numFmtId="0">
      <sharedItems containsSemiMixedTypes="0" containsString="0" containsNumber="1" containsInteger="1" minValue="0" maxValue="4290"/>
    </cacheField>
    <cacheField name="Tarpaulin_LS" numFmtId="0">
      <sharedItems containsSemiMixedTypes="0" containsString="0" containsNumber="1" containsInteger="1" minValue="0" maxValue="2145"/>
    </cacheField>
    <cacheField name="Blanket_LS" numFmtId="0">
      <sharedItems containsSemiMixedTypes="0" containsString="0" containsNumber="1" containsInteger="1" minValue="0" maxValue="4290"/>
    </cacheField>
    <cacheField name="Kitchen Set_LS" numFmtId="0">
      <sharedItems containsSemiMixedTypes="0" containsString="0" containsNumber="1" containsInteger="1" minValue="0" maxValue="2145"/>
    </cacheField>
    <cacheField name="Complementary Kit_LS" numFmtId="0">
      <sharedItems containsSemiMixedTypes="0" containsString="0" containsNumber="1" containsInteger="1" minValue="0" maxValue="509"/>
    </cacheField>
    <cacheField name="Plastic Bucket_LS" numFmtId="0">
      <sharedItems containsSemiMixedTypes="0" containsString="0" containsNumber="1" containsInteger="1" minValue="0" maxValue="2145"/>
    </cacheField>
    <cacheField name="Jerry Can_LS" numFmtId="0">
      <sharedItems containsSemiMixedTypes="0" containsString="0" containsNumber="1" containsInteger="1" minValue="0" maxValue="2145"/>
    </cacheField>
    <cacheField name="Plastic  Mat_LS" numFmtId="0">
      <sharedItems containsSemiMixedTypes="0" containsString="0" containsNumber="1" minValue="0" maxValue="26812.5"/>
    </cacheField>
    <cacheField name="Pcode" numFmtId="0">
      <sharedItems/>
    </cacheField>
    <cacheField name="Status" numFmtId="0">
      <sharedItems/>
    </cacheField>
    <cacheField name="Year2" numFmtId="0" formula="YEAR('Distribution Date')" databaseField="0"/>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2367.497040393515" createdVersion="4" refreshedVersion="5" minRefreshableVersion="3" recordCount="134">
  <cacheSource type="worksheet">
    <worksheetSource name="Data_Shelter_t"/>
  </cacheSource>
  <cacheFields count="25">
    <cacheField name="DateUpdated" numFmtId="15">
      <sharedItems containsSemiMixedTypes="0" containsNonDate="0" containsDate="1" containsString="0" minDate="2013-08-23T00:00:00" maxDate="2015-09-22T00:00:00"/>
    </cacheField>
    <cacheField name="Organization" numFmtId="49">
      <sharedItems count="13">
        <s v="UNHCR"/>
        <s v="Government"/>
        <s v="DRC"/>
        <s v="CARE"/>
        <s v="ICRC"/>
        <s v="MAUK"/>
        <s v="WFP"/>
        <s v="TDC/Natala Government"/>
        <s v="UNHCR/BAJ"/>
        <s v="Service City"/>
        <s v="MRF"/>
        <s v="IRW"/>
        <s v="MRCS"/>
      </sharedItems>
    </cacheField>
    <cacheField name="Implementing Partner" numFmtId="49">
      <sharedItems/>
    </cacheField>
    <cacheField name="State" numFmtId="49">
      <sharedItems count="1">
        <s v="Rakhine"/>
      </sharedItems>
    </cacheField>
    <cacheField name="Township" numFmtId="0">
      <sharedItems count="10">
        <s v="Kyauktaw"/>
        <s v="Kyauk_Phyu"/>
        <s v="Minbya"/>
        <s v="Mrauk_U"/>
        <s v="Myebon"/>
        <s v="Pauktaw"/>
        <s v="Ramree"/>
        <s v="Rathedaung"/>
        <s v="Sittwe"/>
        <s v="Maungdaw"/>
      </sharedItems>
    </cacheField>
    <cacheField name="Camp Name" numFmtId="0">
      <sharedItems containsBlank="1"/>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NonDate="0" containsString="0" containsBlank="1"/>
    </cacheField>
    <cacheField name="HH Covered" numFmtId="0">
      <sharedItems containsSemiMixedTypes="0" containsString="0"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Thi Thi Lwin" refreshedDate="42402.40382511574" missingItemsLimit="0" createdVersion="4" refreshedVersion="5" minRefreshableVersion="3" recordCount="117">
  <cacheSource type="worksheet">
    <worksheetSource name="AllData_CampList"/>
  </cacheSource>
  <cacheFields count="36">
    <cacheField name="Status" numFmtId="49">
      <sharedItems count="2">
        <s v="Open"/>
        <s v="Close"/>
      </sharedItems>
    </cacheField>
    <cacheField name="State" numFmtId="49">
      <sharedItems count="1">
        <s v="Rakhine"/>
      </sharedItems>
    </cacheField>
    <cacheField name="State_Pcode" numFmtId="49">
      <sharedItems/>
    </cacheField>
    <cacheField name="District" numFmtId="49">
      <sharedItems containsBlank="1"/>
    </cacheField>
    <cacheField name="District_Pcode" numFmtId="49">
      <sharedItems containsBlank="1"/>
    </cacheField>
    <cacheField name="TOWNSHIP_NAME" numFmtId="49">
      <sharedItems count="10">
        <s v="Kyauk_Phyu"/>
        <s v="Sittwe"/>
        <s v="Kyauktaw"/>
        <s v="Minbya"/>
        <s v="Maungdaw"/>
        <s v="Mrauk_U"/>
        <s v="Myebon"/>
        <s v="Pauktaw"/>
        <s v="Ramree"/>
        <s v="Rathedaung"/>
      </sharedItems>
    </cacheField>
    <cacheField name="Township_Pcode" numFmtId="49">
      <sharedItems/>
    </cacheField>
    <cacheField name="VillageTracKTown_Name" numFmtId="49">
      <sharedItems containsBlank="1"/>
    </cacheField>
    <cacheField name="VillageTrackTown_Pcode" numFmtId="49">
      <sharedItems containsBlank="1"/>
    </cacheField>
    <cacheField name="VillageWard_Name" numFmtId="49">
      <sharedItems containsBlank="1"/>
    </cacheField>
    <cacheField name="VillageWard_Pcode" numFmtId="49">
      <sharedItems containsBlank="1" containsMixedTypes="1" containsNumber="1" containsInteger="1" minValue="196129" maxValue="217973"/>
    </cacheField>
    <cacheField name="Camp Name" numFmtId="49">
      <sharedItems count="117">
        <s v="Ka Nyin Taw"/>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Kyauk Ta Lone"/>
        <s v="Ah Lel"/>
        <s v="Ah Lel Kyun"/>
        <s v="Ah Pauk Wa "/>
        <s v="Goke Pi Htaunt"/>
        <s v="In Bar Yi"/>
        <s v="Khaung Htoke"/>
        <s v="Let Saung Kauk"/>
        <s v="Nidin"/>
        <s v="Shwe Hlaing"/>
        <s v="Taung Bwe"/>
        <s v="Nagara Pauktaw"/>
        <s v="Yun Nyar"/>
        <s v="Bomu Ywa"/>
        <s v="Du Than Dar"/>
        <s v="Honsara (Zaw Ma Tat)"/>
        <s v="Myoma Myauk (Chitta Ywa)"/>
        <s v="Nyaung Pin Hla"/>
        <s v="Sin Thay Pyin (Zay Di Pyin)"/>
        <s v="Thaung Paing Nyar"/>
        <s v="Ward-6 (Lay Myaing)"/>
        <s v="Ywa thit Kay"/>
        <s v="Baw Di Gone"/>
        <s v="Bomu Ywa 2"/>
        <s v="Kan Thar Yar"/>
        <s v="Kin Chaung"/>
        <s v="Kyaing Gyi"/>
        <s v="Maw Ya Waddy"/>
        <s v="Tha Yay Kone Baung"/>
        <s v="Ywa thit Kay 2"/>
        <s v="Baw Du Pha"/>
        <s v="Danyawaddy Baw Lone Kwin"/>
        <s v="Dohn Taik Kwin"/>
        <s v="Hmanzi "/>
        <s v="Hmanzi Junction"/>
        <s v="Ma Gyi Myaing"/>
        <s v="Mingan"/>
        <s v="Ohn Taw Gyi 1"/>
        <s v="Ohn Taw Gyi 3"/>
        <s v="Ohn Taw Gyi 4"/>
        <s v="Ohn Taw Gyi 5"/>
        <s v="Phwe Yar Kone"/>
        <s v="Aung Taing"/>
        <s v="Paik Thay"/>
        <s v="Sam Ba Le"/>
        <s v="San Htoe Tan"/>
        <s v="Set Yone Maw"/>
        <s v="Tha Dar"/>
        <s v="Tha Yet Oak"/>
        <s v="Pa Rein"/>
        <s v="Raw Ma Ni Sin Oe"/>
        <s v="Thi Kyar"/>
        <s v="Yai Thei-Muslim"/>
        <s v="Kan Thar Htwat Wa"/>
        <s v="Taung Paw "/>
        <s v="Ah Nauk Ywe"/>
        <s v="Ba Wan Chaung Wa Su"/>
        <s v="Kyein Ni Pyin"/>
        <s v="Nget Chaung"/>
        <s v="Sin Tet Maw"/>
        <s v="Ramree Town"/>
        <s v="Ramree Ward 6"/>
        <s v="Ah Htet Nan Yar"/>
        <s v="Ah Nauk Pyin"/>
        <s v="Chein Khar Li"/>
        <s v="Koe Tan Kauk"/>
        <s v="Nyaung Pin Gyi"/>
        <s v="Basare"/>
        <s v="Baw Du Pha (IDP in host families)"/>
        <s v="Baw Du Pha 1"/>
        <s v="Baw Du Pha 2"/>
        <s v="Alima Fara"/>
        <s v="Lamber Gone Nah"/>
        <s v="Ywa thit Kay 3"/>
        <s v="Dar Pai"/>
        <s v="Thay Kan"/>
        <s v="Sin Tet Maw (from Nget Chaung)"/>
        <s v="Bu May Ohn Taw"/>
        <s v="Bu May Ohn Taw Shore"/>
        <s v="Pa Lin Pyin Ywar Thit"/>
        <s v="Sat Roe Kya"/>
        <s v="Thae Chaung (Kyaukphyu)"/>
        <s v="Myat Buddha Mandine Monastery"/>
        <s v="Dar Pai (IDP in host families)"/>
        <s v="Khaung Doke Khar "/>
        <s v="Maw Ti Ngar"/>
        <s v="Ohn Taw Chay"/>
        <s v="Ohn Taw Gyi (North)"/>
        <s v="Ohn Taw Gyi (South)"/>
        <s v="Sat Roe Kya 1"/>
        <s v="Sat Roe Kya 2"/>
        <s v="Say Tha Mar Gyi"/>
        <s v="Set Yone Su"/>
        <s v="Set Yone Su 3"/>
        <s v="Thae Chaung"/>
        <s v="Thae Chaung (IDP in host families)"/>
        <s v="Thet Kae Pyin "/>
        <s v="Thet Kae Pyin (IDPs in host family)"/>
        <s v="Thin Pone Tan"/>
      </sharedItems>
      <fieldGroup par="35"/>
    </cacheField>
    <cacheField name="P_Code" numFmtId="49">
      <sharedItems count="117">
        <s v="MMR012CMP03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35"/>
        <s v="MMR012CMP022"/>
        <s v="MMR012CMP025"/>
        <s v="MMR012CMP024"/>
        <s v="MMR012CMP027"/>
        <s v="MMR012CMP026"/>
        <s v="MMR012CMP030"/>
        <s v="MMR012CMP020"/>
        <s v="MMR012CMP023"/>
        <s v="MMR012CMP029"/>
        <s v="MMR012CMP021"/>
        <s v="MMR012CMP004"/>
        <s v="MMR012CMP028"/>
        <s v="MMR012CMP084"/>
        <s v="MMR012CMP088"/>
        <s v="MMR012CMP109"/>
        <s v="MMR012CMP083"/>
        <s v="MMR012CMP082"/>
        <s v="MMR012CMP094"/>
        <s v="MMR012CMP086"/>
        <s v="MMR012CMP095"/>
        <s v="MMR012CMP085"/>
        <s v="MMR012CMP079"/>
        <s v="MMR012CMP106"/>
        <s v="MMR012CMP081"/>
        <s v="MMR012CMP080"/>
        <s v="MMR012CMP078"/>
        <s v="MMR012CMP076"/>
        <s v="MMR012CMP077"/>
        <s v="MMR012CMP107"/>
        <s v="MMR012CMP040"/>
        <s v="MMR012CMP055"/>
        <s v="MMR012CMP057"/>
        <s v="MMR012CMP102"/>
        <s v="MMR012CMP049"/>
        <s v="MMR012CMP053"/>
        <s v="MMR012CMP054"/>
        <s v="MMR012CMP043"/>
        <s v="MMR012CMP090"/>
        <s v="MMR012CMP099"/>
        <s v="MMR012CMP100"/>
        <s v="MMR012CMP044"/>
        <s v="MMR012CMP006"/>
        <s v="MMR012CMP001"/>
        <s v="MMR012CMP008"/>
        <s v="MMR012CMP003"/>
        <s v="MMR012CMP104"/>
        <s v="MMR012CMP002"/>
        <s v="MMR012CMP005"/>
        <s v="MMR012CMP009"/>
        <s v="MMR012CMP012"/>
        <s v="MMR012CMP117"/>
        <s v="MMR012CMP010"/>
        <s v="MMR012CMP013"/>
        <s v="MMR012CMP014"/>
        <s v="MMR012CMP016"/>
        <s v="MMR012CMP015"/>
        <s v="MMR012CMP018"/>
        <s v="MMR012CMP017"/>
        <s v="MMR012CMP019"/>
        <s v="MMR012CMP038"/>
        <s v="MMR012CMP037"/>
        <s v="MMR012CMP034"/>
        <s v="MMR012CMP032"/>
        <s v="MMR012CMP033"/>
        <s v="MMR012CMP110"/>
        <s v="MMR012CMP031"/>
        <s v="MMR012CMP039"/>
        <s v="MMR012CMP103"/>
        <s v="MMR012CMP113"/>
        <s v="MMR012CMP114"/>
        <s v="MMR012CMP089"/>
        <s v="MMR012CMP087"/>
        <s v="MMR012CMP108"/>
        <s v="MMR012CMP041"/>
        <s v="MMR012CMP007"/>
        <s v="MMR012CMP096"/>
        <s v="MMR012CMP051"/>
        <s v="MMR012CMP052"/>
        <s v="MMR012CMP050"/>
        <s v="MMR012CMP105"/>
        <s v="MMR012CMP047"/>
        <s v="MMR012CMP011"/>
        <s v="MMR012CMP097"/>
        <s v="MMR012CMP042"/>
        <s v="MMR012CMP092"/>
        <s v="MMR012CMP098"/>
        <s v="MMR012CMP115"/>
        <s v="MMR012CMP116"/>
        <s v="MMR012CMP111"/>
        <s v="MMR012CMP112"/>
        <s v="MMR012CMP045"/>
        <s v="MMR012CMP056"/>
        <s v="MMR012CMP093"/>
        <s v="MMR012CMP046"/>
        <s v="MMR012CMP101"/>
        <s v="MMR012CMP048"/>
        <s v="MMR012CMP091"/>
        <s v="MMR012CMP058"/>
      </sharedItems>
    </cacheField>
    <cacheField name="Longitude" numFmtId="0">
      <sharedItems containsMixedTypes="1" containsNumber="1" minValue="92.338031000000001" maxValue="93.865170000000006"/>
    </cacheField>
    <cacheField name="Latitude" numFmtId="0">
      <sharedItems containsMixedTypes="1" containsNumber="1" minValue="19.088283000000001" maxValue="21.066663999999999"/>
    </cacheField>
    <cacheField name="Altitude" numFmtId="49">
      <sharedItems containsBlank="1"/>
    </cacheField>
    <cacheField name="HH" numFmtId="1">
      <sharedItems containsString="0" containsBlank="1" containsNumber="1" containsInteger="1" minValue="5" maxValue="2629"/>
    </cacheField>
    <cacheField name="Total" numFmtId="1">
      <sharedItems containsString="0" containsBlank="1" containsNumber="1" containsInteger="1" minValue="27" maxValue="13655"/>
    </cacheField>
    <cacheField name="Avg" numFmtId="169">
      <sharedItems containsString="0" containsBlank="1" containsNumber="1" minValue="0" maxValue="8.7222222222222214"/>
    </cacheField>
    <cacheField name="Accessibility" numFmtId="49">
      <sharedItems/>
    </cacheField>
    <cacheField name="Affected population" numFmtId="49">
      <sharedItems/>
    </cacheField>
    <cacheField name="Type of Accomodation" numFmtId="49">
      <sharedItems count="4">
        <s v="Planned Camp"/>
        <s v="Collective Center"/>
        <s v="Host Families"/>
        <s v="Self Settled Camp"/>
      </sharedItems>
    </cacheField>
    <cacheField name="Isolated Location" numFmtId="49">
      <sharedItems containsBlank="1"/>
    </cacheField>
    <cacheField name="Opening Date" numFmtId="49">
      <sharedItems containsNonDate="0" containsString="0" containsBlank="1"/>
    </cacheField>
    <cacheField name="Ethnicity" numFmtId="49">
      <sharedItems containsBlank="1" count="5">
        <s v="Rakhine"/>
        <m/>
        <s v=" "/>
        <s v="Maramargyi"/>
        <s v="Kaman"/>
      </sharedItems>
    </cacheField>
    <cacheField name="Religion" numFmtId="49">
      <sharedItems containsBlank="1"/>
    </cacheField>
    <cacheField name="Type of Population" numFmtId="49">
      <sharedItems containsBlank="1" count="6">
        <s v="Rakhine-Buddhist"/>
        <s v="-"/>
        <s v=" -Muslim"/>
        <s v="Maramargyi-Buddhist"/>
        <s v="Kaman-Muslim"/>
        <m/>
      </sharedItems>
    </cacheField>
    <cacheField name="CM/FP" numFmtId="49">
      <sharedItems containsBlank="1" count="3">
        <s v="Focal Point"/>
        <m/>
        <s v="Camp Management"/>
      </sharedItems>
    </cacheField>
    <cacheField name="Responsible Agency" numFmtId="49">
      <sharedItems containsBlank="1" count="6">
        <s v="UNHCR"/>
        <s v=" "/>
        <s v="RI"/>
        <s v="LWF"/>
        <s v="DRC"/>
        <m/>
      </sharedItems>
    </cacheField>
    <cacheField name="Source" numFmtId="49">
      <sharedItems containsBlank="1"/>
    </cacheField>
    <cacheField name="Method" numFmtId="49">
      <sharedItems containsBlank="1"/>
    </cacheField>
    <cacheField name="Update Date" numFmtId="15">
      <sharedItems containsSemiMixedTypes="0" containsNonDate="0" containsDate="1" containsString="0" minDate="2013-09-03T00:00:00" maxDate="2015-10-15T00:00:00"/>
    </cacheField>
    <cacheField name="Comment" numFmtId="49">
      <sharedItems containsBlank="1" longText="1"/>
    </cacheField>
    <cacheField name="Contact" numFmtId="0">
      <sharedItems containsMixedTypes="1" containsNumber="1" containsInteger="1" minValue="0" maxValue="0" count="6">
        <s v="Richard Warren"/>
        <n v="0"/>
        <s v="Trisha Bury_x000a_Health Program Manager (Sittwe)_x000a_trisha.bury@ri.org"/>
        <s v="Yadu Shresk_x000a_Emergency Project Coordinator_x000a_campro.mmr@lwfdws.org"/>
        <s v="Veronica Costarelli_x000a_CCCM Project Coordinator_x000a_Veronica.Costarelli@drcmm.org"/>
        <s v=""/>
      </sharedItems>
    </cacheField>
    <cacheField name="shelter_coverage" numFmtId="9">
      <sharedItems containsSemiMixedTypes="0" containsString="0" containsNumber="1" minValue="0" maxValue="1"/>
    </cacheField>
    <cacheField name="Camp Name2" numFmtId="0" databaseField="0">
      <fieldGroup base="11">
        <discretePr count="117">
          <x v="70"/>
          <x v="3"/>
          <x v="12"/>
          <x v="13"/>
          <x v="18"/>
          <x v="19"/>
          <x v="24"/>
          <x v="30"/>
          <x v="32"/>
          <x v="36"/>
          <x v="46"/>
          <x v="50"/>
          <x v="51"/>
          <x v="53"/>
          <x v="57"/>
          <x v="60"/>
          <x v="63"/>
          <x v="64"/>
          <x v="28"/>
          <x v="69"/>
          <x v="69"/>
          <x v="69"/>
          <x v="69"/>
          <x v="69"/>
          <x v="69"/>
          <x v="69"/>
          <x v="69"/>
          <x v="69"/>
          <x v="69"/>
          <x v="37"/>
          <x v="69"/>
          <x v="7"/>
          <x v="17"/>
          <x v="22"/>
          <x v="71"/>
          <x v="39"/>
          <x v="72"/>
          <x v="58"/>
          <x v="73"/>
          <x v="65"/>
          <x v="4"/>
          <x v="8"/>
          <x v="23"/>
          <x v="25"/>
          <x v="27"/>
          <x v="33"/>
          <x v="54"/>
          <x v="66"/>
          <x v="5"/>
          <x v="14"/>
          <x v="16"/>
          <x v="20"/>
          <x v="21"/>
          <x v="31"/>
          <x v="34"/>
          <x v="40"/>
          <x v="41"/>
          <x v="42"/>
          <x v="43"/>
          <x v="45"/>
          <x v="69"/>
          <x v="69"/>
          <x v="69"/>
          <x v="69"/>
          <x v="69"/>
          <x v="69"/>
          <x v="69"/>
          <x v="69"/>
          <x v="69"/>
          <x v="69"/>
          <x v="69"/>
          <x v="68"/>
          <x v="68"/>
          <x v="68"/>
          <x v="68"/>
          <x v="68"/>
          <x v="68"/>
          <x v="68"/>
          <x v="47"/>
          <x v="48"/>
          <x v="0"/>
          <x v="1"/>
          <x v="11"/>
          <x v="26"/>
          <x v="38"/>
          <x v="68"/>
          <x v="6"/>
          <x v="68"/>
          <x v="68"/>
          <x v="2"/>
          <x v="29"/>
          <x v="67"/>
          <x v="68"/>
          <x v="59"/>
          <x v="52"/>
          <x v="9"/>
          <x v="10"/>
          <x v="44"/>
          <x v="49"/>
          <x v="56"/>
          <x v="35"/>
          <x v="15"/>
          <x v="68"/>
          <x v="68"/>
          <x v="68"/>
          <x v="68"/>
          <x v="68"/>
          <x v="68"/>
          <x v="68"/>
          <x v="68"/>
          <x v="68"/>
          <x v="68"/>
          <x v="68"/>
          <x v="55"/>
          <x v="68"/>
          <x v="61"/>
          <x v="62"/>
        </discretePr>
        <groupItems count="74">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Thin Pone Tan"/>
          <s v="Weikzar Thaikdi Monastery"/>
          <s v="Ya Tayar Monastery"/>
          <s v="Ywa thit Kay"/>
          <s v="Ywa thit Kay 2"/>
          <s v="Ywa thit Kay 3"/>
          <s v="Group1"/>
          <s v="Group2"/>
          <s v="Ka Nyin Taw"/>
          <s v="Myoma Myauk (Chitta Ywa)"/>
          <s v="Sin Thay Pyin (Zay Di Pyin)"/>
          <s v="Ward-6 (Lay Myaing)"/>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76">
  <r>
    <s v="Rakhine"/>
    <x v="0"/>
    <x v="0"/>
    <s v="MMR012CMP016"/>
    <x v="0"/>
    <x v="0"/>
    <n v="406"/>
    <n v="-406"/>
    <s v="LWF"/>
    <d v="2015-04-06T00:00:00"/>
  </r>
  <r>
    <s v="Rakhine"/>
    <x v="0"/>
    <x v="0"/>
    <s v="MMR012CMP016"/>
    <x v="0"/>
    <x v="1"/>
    <n v="472"/>
    <n v="472"/>
    <s v="LWF"/>
    <d v="2015-04-06T00:00:00"/>
  </r>
  <r>
    <s v="Rakhine"/>
    <x v="0"/>
    <x v="0"/>
    <s v="MMR012CMP016"/>
    <x v="1"/>
    <x v="0"/>
    <n v="546"/>
    <n v="-546"/>
    <s v="LWF"/>
    <d v="2015-04-06T00:00:00"/>
  </r>
  <r>
    <s v="Rakhine"/>
    <x v="0"/>
    <x v="0"/>
    <s v="MMR012CMP016"/>
    <x v="1"/>
    <x v="1"/>
    <n v="495"/>
    <n v="495"/>
    <s v="LWF"/>
    <d v="2015-04-06T00:00:00"/>
  </r>
  <r>
    <s v="Rakhine"/>
    <x v="0"/>
    <x v="0"/>
    <s v="MMR012CMP016"/>
    <x v="2"/>
    <x v="0"/>
    <n v="297"/>
    <n v="-297"/>
    <s v="LWF"/>
    <d v="2015-04-06T00:00:00"/>
  </r>
  <r>
    <s v="Rakhine"/>
    <x v="0"/>
    <x v="0"/>
    <s v="MMR012CMP016"/>
    <x v="3"/>
    <x v="1"/>
    <n v="235"/>
    <n v="235"/>
    <s v="LWF"/>
    <d v="2015-04-06T00:00:00"/>
  </r>
  <r>
    <s v="Rakhine"/>
    <x v="0"/>
    <x v="0"/>
    <s v="MMR012CMP016"/>
    <x v="3"/>
    <x v="0"/>
    <n v="266"/>
    <n v="-266"/>
    <s v="LWF"/>
    <d v="2015-04-06T00:00:00"/>
  </r>
  <r>
    <s v="Rakhine"/>
    <x v="0"/>
    <x v="0"/>
    <s v="MMR012CMP016"/>
    <x v="3"/>
    <x v="1"/>
    <n v="453"/>
    <n v="453"/>
    <s v="LWF"/>
    <d v="2015-04-06T00:00:00"/>
  </r>
  <r>
    <s v="Rakhine"/>
    <x v="0"/>
    <x v="0"/>
    <s v="MMR012CMP016"/>
    <x v="4"/>
    <x v="0"/>
    <n v="469"/>
    <n v="-469"/>
    <s v="LWF"/>
    <d v="2015-04-06T00:00:00"/>
  </r>
  <r>
    <s v="Rakhine"/>
    <x v="0"/>
    <x v="0"/>
    <s v="MMR012CMP016"/>
    <x v="4"/>
    <x v="1"/>
    <n v="523"/>
    <n v="523"/>
    <s v="LWF"/>
    <d v="2015-04-06T00:00:00"/>
  </r>
  <r>
    <s v="Rakhine"/>
    <x v="0"/>
    <x v="0"/>
    <s v="MMR012CMP016"/>
    <x v="5"/>
    <x v="0"/>
    <n v="62"/>
    <n v="-62"/>
    <s v="LWF"/>
    <d v="2015-04-06T00:00:00"/>
  </r>
  <r>
    <s v="Rakhine"/>
    <x v="0"/>
    <x v="0"/>
    <s v="MMR012CMP016"/>
    <x v="5"/>
    <x v="1"/>
    <n v="48"/>
    <n v="48"/>
    <s v="LWF"/>
    <d v="2015-04-06T00:00:00"/>
  </r>
  <r>
    <s v="Rakhine"/>
    <x v="0"/>
    <x v="1"/>
    <s v="MMR012CMP015"/>
    <x v="0"/>
    <x v="0"/>
    <n v="7"/>
    <n v="-7"/>
    <s v="LWF"/>
    <d v="2015-04-01T00:00:00"/>
  </r>
  <r>
    <s v="Rakhine"/>
    <x v="0"/>
    <x v="1"/>
    <s v="MMR012CMP015"/>
    <x v="0"/>
    <x v="1"/>
    <n v="14"/>
    <n v="14"/>
    <s v="LWF"/>
    <d v="2015-04-01T00:00:00"/>
  </r>
  <r>
    <s v="Rakhine"/>
    <x v="0"/>
    <x v="1"/>
    <s v="MMR012CMP015"/>
    <x v="1"/>
    <x v="0"/>
    <n v="10"/>
    <n v="-10"/>
    <s v="LWF"/>
    <d v="2015-04-01T00:00:00"/>
  </r>
  <r>
    <s v="Rakhine"/>
    <x v="0"/>
    <x v="1"/>
    <s v="MMR012CMP015"/>
    <x v="1"/>
    <x v="1"/>
    <n v="5"/>
    <n v="5"/>
    <s v="LWF"/>
    <d v="2015-04-01T00:00:00"/>
  </r>
  <r>
    <s v="Rakhine"/>
    <x v="0"/>
    <x v="1"/>
    <s v="MMR012CMP015"/>
    <x v="2"/>
    <x v="0"/>
    <n v="7"/>
    <n v="-7"/>
    <s v="LWF"/>
    <d v="2015-04-01T00:00:00"/>
  </r>
  <r>
    <s v="Rakhine"/>
    <x v="0"/>
    <x v="1"/>
    <s v="MMR012CMP015"/>
    <x v="3"/>
    <x v="1"/>
    <n v="6"/>
    <n v="6"/>
    <s v="LWF"/>
    <d v="2015-04-01T00:00:00"/>
  </r>
  <r>
    <s v="Rakhine"/>
    <x v="0"/>
    <x v="1"/>
    <s v="MMR012CMP015"/>
    <x v="3"/>
    <x v="0"/>
    <n v="18"/>
    <n v="-18"/>
    <s v="LWF"/>
    <d v="2015-04-01T00:00:00"/>
  </r>
  <r>
    <s v="Rakhine"/>
    <x v="0"/>
    <x v="1"/>
    <s v="MMR012CMP015"/>
    <x v="3"/>
    <x v="1"/>
    <n v="13"/>
    <n v="13"/>
    <s v="LWF"/>
    <d v="2015-04-01T00:00:00"/>
  </r>
  <r>
    <s v="Rakhine"/>
    <x v="0"/>
    <x v="1"/>
    <s v="MMR012CMP015"/>
    <x v="4"/>
    <x v="0"/>
    <n v="16"/>
    <n v="-16"/>
    <s v="LWF"/>
    <d v="2015-04-01T00:00:00"/>
  </r>
  <r>
    <s v="Rakhine"/>
    <x v="0"/>
    <x v="1"/>
    <s v="MMR012CMP015"/>
    <x v="4"/>
    <x v="1"/>
    <n v="23"/>
    <n v="23"/>
    <s v="LWF"/>
    <d v="2015-04-01T00:00:00"/>
  </r>
  <r>
    <s v="Rakhine"/>
    <x v="0"/>
    <x v="1"/>
    <s v="MMR012CMP015"/>
    <x v="5"/>
    <x v="0"/>
    <n v="1"/>
    <n v="-1"/>
    <s v="LWF"/>
    <d v="2015-04-01T00:00:00"/>
  </r>
  <r>
    <s v="Rakhine"/>
    <x v="0"/>
    <x v="1"/>
    <s v="MMR012CMP015"/>
    <x v="5"/>
    <x v="1"/>
    <n v="2"/>
    <n v="2"/>
    <s v="LWF"/>
    <d v="2015-04-01T00:00:00"/>
  </r>
  <r>
    <s v="Rakhine"/>
    <x v="1"/>
    <x v="2"/>
    <s v="MMR012CMP039"/>
    <x v="0"/>
    <x v="0"/>
    <n v="263"/>
    <n v="-263"/>
    <s v="LWF"/>
    <d v="2015-03-23T00:00:00"/>
  </r>
  <r>
    <s v="Rakhine"/>
    <x v="1"/>
    <x v="2"/>
    <s v="MMR012CMP039"/>
    <x v="0"/>
    <x v="1"/>
    <n v="240"/>
    <n v="240"/>
    <s v="LWF"/>
    <d v="2015-03-23T00:00:00"/>
  </r>
  <r>
    <s v="Rakhine"/>
    <x v="1"/>
    <x v="2"/>
    <s v="MMR012CMP039"/>
    <x v="1"/>
    <x v="0"/>
    <n v="145"/>
    <n v="-145"/>
    <s v="LWF"/>
    <d v="2015-03-23T00:00:00"/>
  </r>
  <r>
    <s v="Rakhine"/>
    <x v="1"/>
    <x v="2"/>
    <s v="MMR012CMP039"/>
    <x v="1"/>
    <x v="1"/>
    <n v="136"/>
    <n v="136"/>
    <s v="LWF"/>
    <d v="2015-03-23T00:00:00"/>
  </r>
  <r>
    <s v="Rakhine"/>
    <x v="1"/>
    <x v="2"/>
    <s v="MMR012CMP039"/>
    <x v="2"/>
    <x v="0"/>
    <n v="112"/>
    <n v="-112"/>
    <s v="LWF"/>
    <d v="2015-03-23T00:00:00"/>
  </r>
  <r>
    <s v="Rakhine"/>
    <x v="1"/>
    <x v="2"/>
    <s v="MMR012CMP039"/>
    <x v="3"/>
    <x v="1"/>
    <n v="114"/>
    <n v="114"/>
    <s v="LWF"/>
    <d v="2015-03-23T00:00:00"/>
  </r>
  <r>
    <s v="Rakhine"/>
    <x v="1"/>
    <x v="2"/>
    <s v="MMR012CMP039"/>
    <x v="3"/>
    <x v="0"/>
    <n v="151"/>
    <n v="-151"/>
    <s v="LWF"/>
    <d v="2015-03-23T00:00:00"/>
  </r>
  <r>
    <s v="Rakhine"/>
    <x v="1"/>
    <x v="2"/>
    <s v="MMR012CMP039"/>
    <x v="3"/>
    <x v="1"/>
    <n v="208"/>
    <n v="208"/>
    <s v="LWF"/>
    <d v="2015-03-23T00:00:00"/>
  </r>
  <r>
    <s v="Rakhine"/>
    <x v="1"/>
    <x v="2"/>
    <s v="MMR012CMP039"/>
    <x v="4"/>
    <x v="0"/>
    <n v="294"/>
    <n v="-294"/>
    <s v="LWF"/>
    <d v="2015-03-23T00:00:00"/>
  </r>
  <r>
    <s v="Rakhine"/>
    <x v="1"/>
    <x v="2"/>
    <s v="MMR012CMP039"/>
    <x v="4"/>
    <x v="1"/>
    <n v="311"/>
    <n v="311"/>
    <s v="LWF"/>
    <d v="2015-03-23T00:00:00"/>
  </r>
  <r>
    <s v="Rakhine"/>
    <x v="1"/>
    <x v="2"/>
    <s v="MMR012CMP039"/>
    <x v="5"/>
    <x v="0"/>
    <n v="34"/>
    <n v="-34"/>
    <s v="LWF"/>
    <d v="2015-03-23T00:00:00"/>
  </r>
  <r>
    <s v="Rakhine"/>
    <x v="1"/>
    <x v="2"/>
    <s v="MMR012CMP039"/>
    <x v="5"/>
    <x v="1"/>
    <n v="41"/>
    <n v="41"/>
    <s v="LWF"/>
    <d v="2015-03-23T00:00:00"/>
  </r>
  <r>
    <s v="Rakhine"/>
    <x v="1"/>
    <x v="3"/>
    <s v="MMR012CMP113"/>
    <x v="0"/>
    <x v="0"/>
    <n v="395"/>
    <n v="-395"/>
    <s v="DRC"/>
    <d v="2015-03-24T00:00:00"/>
  </r>
  <r>
    <s v="Rakhine"/>
    <x v="1"/>
    <x v="3"/>
    <s v="MMR012CMP113"/>
    <x v="0"/>
    <x v="1"/>
    <n v="419"/>
    <n v="419"/>
    <s v="DRC"/>
    <d v="2015-03-24T00:00:00"/>
  </r>
  <r>
    <s v="Rakhine"/>
    <x v="1"/>
    <x v="3"/>
    <s v="MMR012CMP113"/>
    <x v="1"/>
    <x v="0"/>
    <n v="457"/>
    <n v="-457"/>
    <s v="DRC"/>
    <d v="2015-03-24T00:00:00"/>
  </r>
  <r>
    <s v="Rakhine"/>
    <x v="1"/>
    <x v="3"/>
    <s v="MMR012CMP113"/>
    <x v="1"/>
    <x v="1"/>
    <n v="387"/>
    <n v="387"/>
    <s v="DRC"/>
    <d v="2015-03-24T00:00:00"/>
  </r>
  <r>
    <s v="Rakhine"/>
    <x v="1"/>
    <x v="3"/>
    <s v="MMR012CMP113"/>
    <x v="2"/>
    <x v="0"/>
    <n v="360"/>
    <n v="-360"/>
    <s v="DRC"/>
    <d v="2015-03-24T00:00:00"/>
  </r>
  <r>
    <s v="Rakhine"/>
    <x v="1"/>
    <x v="3"/>
    <s v="MMR012CMP113"/>
    <x v="3"/>
    <x v="1"/>
    <n v="359"/>
    <n v="359"/>
    <s v="DRC"/>
    <d v="2015-03-24T00:00:00"/>
  </r>
  <r>
    <s v="Rakhine"/>
    <x v="1"/>
    <x v="3"/>
    <s v="MMR012CMP113"/>
    <x v="3"/>
    <x v="0"/>
    <n v="418"/>
    <n v="-418"/>
    <s v="DRC"/>
    <d v="2015-03-24T00:00:00"/>
  </r>
  <r>
    <s v="Rakhine"/>
    <x v="1"/>
    <x v="3"/>
    <s v="MMR012CMP113"/>
    <x v="3"/>
    <x v="1"/>
    <n v="513"/>
    <n v="513"/>
    <s v="DRC"/>
    <d v="2015-03-24T00:00:00"/>
  </r>
  <r>
    <s v="Rakhine"/>
    <x v="1"/>
    <x v="3"/>
    <s v="MMR012CMP113"/>
    <x v="4"/>
    <x v="0"/>
    <n v="686"/>
    <n v="-686"/>
    <s v="DRC"/>
    <d v="2015-03-24T00:00:00"/>
  </r>
  <r>
    <s v="Rakhine"/>
    <x v="1"/>
    <x v="3"/>
    <s v="MMR012CMP113"/>
    <x v="4"/>
    <x v="1"/>
    <n v="704"/>
    <n v="704"/>
    <s v="DRC"/>
    <d v="2015-03-24T00:00:00"/>
  </r>
  <r>
    <s v="Rakhine"/>
    <x v="1"/>
    <x v="3"/>
    <s v="MMR012CMP113"/>
    <x v="5"/>
    <x v="0"/>
    <n v="75"/>
    <n v="-75"/>
    <s v="DRC"/>
    <d v="2015-03-24T00:00:00"/>
  </r>
  <r>
    <s v="Rakhine"/>
    <x v="1"/>
    <x v="3"/>
    <s v="MMR012CMP113"/>
    <x v="5"/>
    <x v="1"/>
    <n v="78"/>
    <n v="78"/>
    <s v="DRC"/>
    <d v="2015-03-24T00:00:00"/>
  </r>
  <r>
    <s v="Rakhine"/>
    <x v="1"/>
    <x v="4"/>
    <s v="MMR012CMP114"/>
    <x v="0"/>
    <x v="0"/>
    <n v="669"/>
    <n v="-669"/>
    <s v="DRC"/>
    <d v="2015-03-25T00:00:00"/>
  </r>
  <r>
    <s v="Rakhine"/>
    <x v="1"/>
    <x v="4"/>
    <s v="MMR012CMP114"/>
    <x v="0"/>
    <x v="1"/>
    <n v="686"/>
    <n v="686"/>
    <s v="DRC"/>
    <d v="2015-03-25T00:00:00"/>
  </r>
  <r>
    <s v="Rakhine"/>
    <x v="1"/>
    <x v="4"/>
    <s v="MMR012CMP114"/>
    <x v="1"/>
    <x v="0"/>
    <n v="655"/>
    <n v="-655"/>
    <s v="DRC"/>
    <d v="2015-03-25T00:00:00"/>
  </r>
  <r>
    <s v="Rakhine"/>
    <x v="1"/>
    <x v="4"/>
    <s v="MMR012CMP114"/>
    <x v="1"/>
    <x v="1"/>
    <n v="614"/>
    <n v="614"/>
    <s v="DRC"/>
    <d v="2015-03-25T00:00:00"/>
  </r>
  <r>
    <s v="Rakhine"/>
    <x v="1"/>
    <x v="4"/>
    <s v="MMR012CMP114"/>
    <x v="2"/>
    <x v="0"/>
    <n v="504"/>
    <n v="-504"/>
    <s v="DRC"/>
    <d v="2015-03-25T00:00:00"/>
  </r>
  <r>
    <s v="Rakhine"/>
    <x v="1"/>
    <x v="4"/>
    <s v="MMR012CMP114"/>
    <x v="3"/>
    <x v="1"/>
    <n v="498"/>
    <n v="498"/>
    <s v="DRC"/>
    <d v="2015-03-25T00:00:00"/>
  </r>
  <r>
    <s v="Rakhine"/>
    <x v="1"/>
    <x v="4"/>
    <s v="MMR012CMP114"/>
    <x v="3"/>
    <x v="0"/>
    <n v="631"/>
    <n v="-631"/>
    <s v="DRC"/>
    <d v="2015-03-25T00:00:00"/>
  </r>
  <r>
    <s v="Rakhine"/>
    <x v="1"/>
    <x v="4"/>
    <s v="MMR012CMP114"/>
    <x v="3"/>
    <x v="1"/>
    <n v="766"/>
    <n v="766"/>
    <s v="DRC"/>
    <d v="2015-03-25T00:00:00"/>
  </r>
  <r>
    <s v="Rakhine"/>
    <x v="1"/>
    <x v="4"/>
    <s v="MMR012CMP114"/>
    <x v="4"/>
    <x v="0"/>
    <n v="843"/>
    <n v="-843"/>
    <s v="DRC"/>
    <d v="2015-03-25T00:00:00"/>
  </r>
  <r>
    <s v="Rakhine"/>
    <x v="1"/>
    <x v="4"/>
    <s v="MMR012CMP114"/>
    <x v="4"/>
    <x v="1"/>
    <n v="838"/>
    <n v="838"/>
    <s v="DRC"/>
    <d v="2015-03-25T00:00:00"/>
  </r>
  <r>
    <s v="Rakhine"/>
    <x v="1"/>
    <x v="4"/>
    <s v="MMR012CMP114"/>
    <x v="5"/>
    <x v="0"/>
    <n v="103"/>
    <n v="-103"/>
    <s v="DRC"/>
    <d v="2015-03-25T00:00:00"/>
  </r>
  <r>
    <s v="Rakhine"/>
    <x v="1"/>
    <x v="4"/>
    <s v="MMR012CMP114"/>
    <x v="5"/>
    <x v="1"/>
    <n v="110"/>
    <n v="110"/>
    <s v="DRC"/>
    <d v="2015-03-25T00:00:00"/>
  </r>
  <r>
    <s v="Rakhine"/>
    <x v="1"/>
    <x v="5"/>
    <s v="MMR012CMP041"/>
    <x v="0"/>
    <x v="0"/>
    <n v="652"/>
    <n v="-652"/>
    <s v="DRC"/>
    <d v="2015-03-19T00:00:00"/>
  </r>
  <r>
    <s v="Rakhine"/>
    <x v="1"/>
    <x v="5"/>
    <s v="MMR012CMP041"/>
    <x v="0"/>
    <x v="1"/>
    <n v="708"/>
    <n v="708"/>
    <s v="DRC"/>
    <d v="2015-03-19T00:00:00"/>
  </r>
  <r>
    <s v="Rakhine"/>
    <x v="1"/>
    <x v="5"/>
    <s v="MMR012CMP041"/>
    <x v="1"/>
    <x v="0"/>
    <n v="809"/>
    <n v="-809"/>
    <s v="DRC"/>
    <d v="2015-03-19T00:00:00"/>
  </r>
  <r>
    <s v="Rakhine"/>
    <x v="1"/>
    <x v="5"/>
    <s v="MMR012CMP041"/>
    <x v="1"/>
    <x v="1"/>
    <n v="802"/>
    <n v="802"/>
    <s v="DRC"/>
    <d v="2015-03-19T00:00:00"/>
  </r>
  <r>
    <s v="Rakhine"/>
    <x v="1"/>
    <x v="5"/>
    <s v="MMR012CMP041"/>
    <x v="2"/>
    <x v="0"/>
    <n v="648"/>
    <n v="-648"/>
    <s v="DRC"/>
    <d v="2015-03-19T00:00:00"/>
  </r>
  <r>
    <s v="Rakhine"/>
    <x v="1"/>
    <x v="5"/>
    <s v="MMR012CMP041"/>
    <x v="3"/>
    <x v="1"/>
    <n v="629"/>
    <n v="629"/>
    <s v="DRC"/>
    <d v="2015-03-19T00:00:00"/>
  </r>
  <r>
    <s v="Rakhine"/>
    <x v="1"/>
    <x v="5"/>
    <s v="MMR012CMP041"/>
    <x v="3"/>
    <x v="0"/>
    <n v="727"/>
    <n v="-727"/>
    <s v="DRC"/>
    <d v="2015-03-19T00:00:00"/>
  </r>
  <r>
    <s v="Rakhine"/>
    <x v="1"/>
    <x v="5"/>
    <s v="MMR012CMP041"/>
    <x v="3"/>
    <x v="1"/>
    <n v="876"/>
    <n v="876"/>
    <s v="DRC"/>
    <d v="2015-03-19T00:00:00"/>
  </r>
  <r>
    <s v="Rakhine"/>
    <x v="1"/>
    <x v="5"/>
    <s v="MMR012CMP041"/>
    <x v="4"/>
    <x v="0"/>
    <n v="971"/>
    <n v="-971"/>
    <s v="DRC"/>
    <d v="2015-03-19T00:00:00"/>
  </r>
  <r>
    <s v="Rakhine"/>
    <x v="1"/>
    <x v="5"/>
    <s v="MMR012CMP041"/>
    <x v="4"/>
    <x v="1"/>
    <n v="1057"/>
    <n v="1057"/>
    <s v="DRC"/>
    <d v="2015-03-19T00:00:00"/>
  </r>
  <r>
    <s v="Rakhine"/>
    <x v="1"/>
    <x v="5"/>
    <s v="MMR012CMP041"/>
    <x v="5"/>
    <x v="0"/>
    <n v="151"/>
    <n v="-151"/>
    <s v="DRC"/>
    <d v="2015-03-19T00:00:00"/>
  </r>
  <r>
    <s v="Rakhine"/>
    <x v="1"/>
    <x v="5"/>
    <s v="MMR012CMP041"/>
    <x v="5"/>
    <x v="1"/>
    <n v="159"/>
    <n v="159"/>
    <s v="DRC"/>
    <d v="2015-03-19T00:00:00"/>
  </r>
  <r>
    <s v="Rakhine"/>
    <x v="2"/>
    <x v="6"/>
    <s v="MMR012CMP013"/>
    <x v="0"/>
    <x v="0"/>
    <n v="8"/>
    <n v="-8"/>
    <s v="RI"/>
    <d v="2015-05-06T00:00:00"/>
  </r>
  <r>
    <s v="Rakhine"/>
    <x v="2"/>
    <x v="6"/>
    <s v="MMR012CMP013"/>
    <x v="0"/>
    <x v="1"/>
    <n v="5"/>
    <n v="5"/>
    <s v="RI"/>
    <d v="2015-05-06T00:00:00"/>
  </r>
  <r>
    <s v="Rakhine"/>
    <x v="2"/>
    <x v="6"/>
    <s v="MMR012CMP013"/>
    <x v="1"/>
    <x v="0"/>
    <n v="14"/>
    <n v="-14"/>
    <s v="RI"/>
    <d v="2015-05-06T00:00:00"/>
  </r>
  <r>
    <s v="Rakhine"/>
    <x v="2"/>
    <x v="6"/>
    <s v="MMR012CMP013"/>
    <x v="1"/>
    <x v="1"/>
    <n v="9"/>
    <n v="9"/>
    <s v="RI"/>
    <d v="2015-05-06T00:00:00"/>
  </r>
  <r>
    <s v="Rakhine"/>
    <x v="2"/>
    <x v="6"/>
    <s v="MMR012CMP013"/>
    <x v="2"/>
    <x v="0"/>
    <n v="17"/>
    <n v="-17"/>
    <s v="RI"/>
    <d v="2015-05-06T00:00:00"/>
  </r>
  <r>
    <s v="Rakhine"/>
    <x v="2"/>
    <x v="6"/>
    <s v="MMR012CMP013"/>
    <x v="2"/>
    <x v="1"/>
    <n v="11"/>
    <n v="11"/>
    <s v="RI"/>
    <d v="2015-05-06T00:00:00"/>
  </r>
  <r>
    <s v="Rakhine"/>
    <x v="2"/>
    <x v="6"/>
    <s v="MMR012CMP013"/>
    <x v="3"/>
    <x v="0"/>
    <n v="13"/>
    <n v="-13"/>
    <s v="RI"/>
    <d v="2015-05-06T00:00:00"/>
  </r>
  <r>
    <s v="Rakhine"/>
    <x v="2"/>
    <x v="6"/>
    <s v="MMR012CMP013"/>
    <x v="3"/>
    <x v="1"/>
    <n v="11"/>
    <n v="11"/>
    <s v="RI"/>
    <d v="2015-05-06T00:00:00"/>
  </r>
  <r>
    <s v="Rakhine"/>
    <x v="2"/>
    <x v="6"/>
    <s v="MMR012CMP013"/>
    <x v="4"/>
    <x v="0"/>
    <n v="45"/>
    <n v="-45"/>
    <s v="RI"/>
    <d v="2015-05-06T00:00:00"/>
  </r>
  <r>
    <s v="Rakhine"/>
    <x v="2"/>
    <x v="6"/>
    <s v="MMR012CMP013"/>
    <x v="4"/>
    <x v="1"/>
    <n v="38"/>
    <n v="38"/>
    <s v="RI"/>
    <d v="2015-05-06T00:00:00"/>
  </r>
  <r>
    <s v="Rakhine"/>
    <x v="2"/>
    <x v="6"/>
    <s v="MMR012CMP013"/>
    <x v="5"/>
    <x v="0"/>
    <n v="14"/>
    <n v="-14"/>
    <s v="RI"/>
    <d v="2015-05-06T00:00:00"/>
  </r>
  <r>
    <s v="Rakhine"/>
    <x v="2"/>
    <x v="6"/>
    <s v="MMR012CMP013"/>
    <x v="5"/>
    <x v="1"/>
    <n v="13"/>
    <n v="13"/>
    <s v="RI"/>
    <d v="2015-05-06T00:00:00"/>
  </r>
  <r>
    <s v="Rakhine"/>
    <x v="1"/>
    <x v="7"/>
    <s v="MMR012CMP042"/>
    <x v="0"/>
    <x v="0"/>
    <n v="444"/>
    <n v="-444"/>
    <s v="LWF"/>
    <d v="2015-04-06T00:00:00"/>
  </r>
  <r>
    <s v="Rakhine"/>
    <x v="1"/>
    <x v="7"/>
    <s v="MMR012CMP042"/>
    <x v="0"/>
    <x v="1"/>
    <n v="438"/>
    <n v="438"/>
    <s v="LWF"/>
    <d v="2015-04-06T00:00:00"/>
  </r>
  <r>
    <s v="Rakhine"/>
    <x v="1"/>
    <x v="7"/>
    <s v="MMR012CMP042"/>
    <x v="1"/>
    <x v="0"/>
    <n v="391"/>
    <n v="-391"/>
    <s v="LWF"/>
    <d v="2015-04-06T00:00:00"/>
  </r>
  <r>
    <s v="Rakhine"/>
    <x v="1"/>
    <x v="7"/>
    <s v="MMR012CMP042"/>
    <x v="1"/>
    <x v="1"/>
    <n v="358"/>
    <n v="358"/>
    <s v="LWF"/>
    <d v="2015-04-06T00:00:00"/>
  </r>
  <r>
    <s v="Rakhine"/>
    <x v="1"/>
    <x v="7"/>
    <s v="MMR012CMP042"/>
    <x v="2"/>
    <x v="0"/>
    <n v="320"/>
    <n v="-320"/>
    <s v="LWF"/>
    <d v="2015-04-06T00:00:00"/>
  </r>
  <r>
    <s v="Rakhine"/>
    <x v="1"/>
    <x v="7"/>
    <s v="MMR012CMP042"/>
    <x v="2"/>
    <x v="1"/>
    <n v="273"/>
    <n v="273"/>
    <s v="LWF"/>
    <d v="2015-04-06T00:00:00"/>
  </r>
  <r>
    <s v="Rakhine"/>
    <x v="1"/>
    <x v="7"/>
    <s v="MMR012CMP042"/>
    <x v="3"/>
    <x v="0"/>
    <n v="336"/>
    <n v="-336"/>
    <s v="LWF"/>
    <d v="2015-04-06T00:00:00"/>
  </r>
  <r>
    <s v="Rakhine"/>
    <x v="1"/>
    <x v="7"/>
    <s v="MMR012CMP042"/>
    <x v="3"/>
    <x v="1"/>
    <n v="465"/>
    <n v="465"/>
    <s v="LWF"/>
    <d v="2015-04-06T00:00:00"/>
  </r>
  <r>
    <s v="Rakhine"/>
    <x v="1"/>
    <x v="7"/>
    <s v="MMR012CMP042"/>
    <x v="4"/>
    <x v="0"/>
    <n v="581"/>
    <n v="-581"/>
    <s v="LWF"/>
    <d v="2015-04-06T00:00:00"/>
  </r>
  <r>
    <s v="Rakhine"/>
    <x v="1"/>
    <x v="7"/>
    <s v="MMR012CMP042"/>
    <x v="4"/>
    <x v="1"/>
    <n v="604"/>
    <n v="604"/>
    <s v="LWF"/>
    <d v="2015-04-06T00:00:00"/>
  </r>
  <r>
    <s v="Rakhine"/>
    <x v="1"/>
    <x v="7"/>
    <s v="MMR012CMP042"/>
    <x v="5"/>
    <x v="0"/>
    <n v="59"/>
    <n v="-59"/>
    <s v="LWF"/>
    <d v="2015-04-06T00:00:00"/>
  </r>
  <r>
    <s v="Rakhine"/>
    <x v="1"/>
    <x v="7"/>
    <s v="MMR012CMP042"/>
    <x v="5"/>
    <x v="1"/>
    <n v="73"/>
    <n v="73"/>
    <s v="LWF"/>
    <d v="2015-04-06T00:00:00"/>
  </r>
  <r>
    <s v="Rakhine"/>
    <x v="0"/>
    <x v="8"/>
    <s v="MMR012CMP018"/>
    <x v="0"/>
    <x v="0"/>
    <n v="612"/>
    <n v="-612"/>
    <s v="SCI"/>
    <d v="2015-06-18T00:00:00"/>
  </r>
  <r>
    <s v="Rakhine"/>
    <x v="0"/>
    <x v="8"/>
    <s v="MMR012CMP018"/>
    <x v="0"/>
    <x v="1"/>
    <n v="589"/>
    <n v="589"/>
    <s v="SCI"/>
    <d v="2015-06-18T00:00:00"/>
  </r>
  <r>
    <s v="Rakhine"/>
    <x v="0"/>
    <x v="8"/>
    <s v="MMR012CMP018"/>
    <x v="1"/>
    <x v="0"/>
    <n v="456"/>
    <n v="-456"/>
    <s v="SCI"/>
    <d v="2015-06-18T00:00:00"/>
  </r>
  <r>
    <s v="Rakhine"/>
    <x v="0"/>
    <x v="8"/>
    <s v="MMR012CMP018"/>
    <x v="1"/>
    <x v="1"/>
    <n v="523"/>
    <n v="523"/>
    <s v="SCI"/>
    <d v="2015-06-18T00:00:00"/>
  </r>
  <r>
    <s v="Rakhine"/>
    <x v="0"/>
    <x v="8"/>
    <s v="MMR012CMP018"/>
    <x v="2"/>
    <x v="0"/>
    <n v="355"/>
    <n v="-355"/>
    <s v="SCI"/>
    <d v="2015-06-18T00:00:00"/>
  </r>
  <r>
    <s v="Rakhine"/>
    <x v="0"/>
    <x v="8"/>
    <s v="MMR012CMP018"/>
    <x v="2"/>
    <x v="1"/>
    <n v="297"/>
    <n v="297"/>
    <s v="SCI"/>
    <d v="2015-06-18T00:00:00"/>
  </r>
  <r>
    <s v="Rakhine"/>
    <x v="0"/>
    <x v="8"/>
    <s v="MMR012CMP018"/>
    <x v="3"/>
    <x v="0"/>
    <n v="345"/>
    <n v="-345"/>
    <s v="SCI"/>
    <d v="2015-06-18T00:00:00"/>
  </r>
  <r>
    <s v="Rakhine"/>
    <x v="0"/>
    <x v="8"/>
    <s v="MMR012CMP018"/>
    <x v="3"/>
    <x v="1"/>
    <n v="482"/>
    <n v="482"/>
    <s v="SCI"/>
    <d v="2015-06-18T00:00:00"/>
  </r>
  <r>
    <s v="Rakhine"/>
    <x v="0"/>
    <x v="8"/>
    <s v="MMR012CMP018"/>
    <x v="4"/>
    <x v="0"/>
    <n v="599"/>
    <n v="-599"/>
    <s v="SCI"/>
    <d v="2015-06-18T00:00:00"/>
  </r>
  <r>
    <s v="Rakhine"/>
    <x v="0"/>
    <x v="8"/>
    <s v="MMR012CMP018"/>
    <x v="4"/>
    <x v="1"/>
    <n v="602"/>
    <n v="602"/>
    <s v="SCI"/>
    <d v="2015-06-18T00:00:00"/>
  </r>
  <r>
    <s v="Rakhine"/>
    <x v="0"/>
    <x v="8"/>
    <s v="MMR012CMP018"/>
    <x v="5"/>
    <x v="0"/>
    <n v="104"/>
    <n v="-104"/>
    <s v="SCI"/>
    <d v="2015-06-18T00:00:00"/>
  </r>
  <r>
    <s v="Rakhine"/>
    <x v="0"/>
    <x v="8"/>
    <s v="MMR012CMP018"/>
    <x v="5"/>
    <x v="1"/>
    <n v="96"/>
    <n v="96"/>
    <s v="SCI"/>
    <d v="2015-06-18T00:00:00"/>
  </r>
  <r>
    <s v="Rakhine"/>
    <x v="1"/>
    <x v="9"/>
    <s v="MMR012CMP092"/>
    <x v="0"/>
    <x v="0"/>
    <n v="304"/>
    <n v="-304"/>
    <s v="SCI"/>
    <d v="2015-06-08T00:00:00"/>
  </r>
  <r>
    <s v="Rakhine"/>
    <x v="1"/>
    <x v="9"/>
    <s v="MMR012CMP092"/>
    <x v="0"/>
    <x v="1"/>
    <n v="336"/>
    <n v="336"/>
    <s v="SCI"/>
    <d v="2015-06-08T00:00:00"/>
  </r>
  <r>
    <s v="Rakhine"/>
    <x v="1"/>
    <x v="9"/>
    <s v="MMR012CMP092"/>
    <x v="1"/>
    <x v="0"/>
    <n v="295"/>
    <n v="-295"/>
    <s v="SCI"/>
    <d v="2015-06-08T00:00:00"/>
  </r>
  <r>
    <s v="Rakhine"/>
    <x v="1"/>
    <x v="9"/>
    <s v="MMR012CMP092"/>
    <x v="1"/>
    <x v="1"/>
    <n v="276"/>
    <n v="276"/>
    <s v="SCI"/>
    <d v="2015-06-08T00:00:00"/>
  </r>
  <r>
    <s v="Rakhine"/>
    <x v="1"/>
    <x v="9"/>
    <s v="MMR012CMP092"/>
    <x v="2"/>
    <x v="0"/>
    <n v="218"/>
    <n v="-218"/>
    <s v="SCI"/>
    <d v="2015-06-08T00:00:00"/>
  </r>
  <r>
    <s v="Rakhine"/>
    <x v="1"/>
    <x v="9"/>
    <s v="MMR012CMP092"/>
    <x v="2"/>
    <x v="1"/>
    <n v="224"/>
    <n v="224"/>
    <s v="SCI"/>
    <d v="2015-06-08T00:00:00"/>
  </r>
  <r>
    <s v="Rakhine"/>
    <x v="1"/>
    <x v="9"/>
    <s v="MMR012CMP092"/>
    <x v="3"/>
    <x v="0"/>
    <n v="288"/>
    <n v="-288"/>
    <s v="SCI"/>
    <d v="2015-06-08T00:00:00"/>
  </r>
  <r>
    <s v="Rakhine"/>
    <x v="1"/>
    <x v="9"/>
    <s v="MMR012CMP092"/>
    <x v="3"/>
    <x v="1"/>
    <n v="348"/>
    <n v="348"/>
    <s v="SCI"/>
    <d v="2015-06-08T00:00:00"/>
  </r>
  <r>
    <s v="Rakhine"/>
    <x v="1"/>
    <x v="9"/>
    <s v="MMR012CMP092"/>
    <x v="4"/>
    <x v="0"/>
    <n v="439"/>
    <n v="-439"/>
    <s v="SCI"/>
    <d v="2015-06-08T00:00:00"/>
  </r>
  <r>
    <s v="Rakhine"/>
    <x v="1"/>
    <x v="9"/>
    <s v="MMR012CMP092"/>
    <x v="4"/>
    <x v="1"/>
    <n v="483"/>
    <n v="483"/>
    <s v="SCI"/>
    <d v="2015-06-08T00:00:00"/>
  </r>
  <r>
    <s v="Rakhine"/>
    <x v="1"/>
    <x v="9"/>
    <s v="MMR012CMP092"/>
    <x v="5"/>
    <x v="0"/>
    <n v="74"/>
    <n v="-74"/>
    <s v="SCI"/>
    <d v="2015-06-08T00:00:00"/>
  </r>
  <r>
    <s v="Rakhine"/>
    <x v="1"/>
    <x v="9"/>
    <s v="MMR012CMP092"/>
    <x v="5"/>
    <x v="1"/>
    <n v="67"/>
    <n v="67"/>
    <s v="SCI"/>
    <d v="2015-06-08T00:00:00"/>
  </r>
  <r>
    <s v="Rakhine"/>
    <x v="0"/>
    <x v="10"/>
    <s v="MMR012CMP017"/>
    <x v="0"/>
    <x v="0"/>
    <n v="1000"/>
    <n v="-1000"/>
    <s v="LWF"/>
    <d v="2015-04-03T00:00:00"/>
  </r>
  <r>
    <s v="Rakhine"/>
    <x v="0"/>
    <x v="10"/>
    <s v="MMR012CMP017"/>
    <x v="0"/>
    <x v="1"/>
    <n v="939"/>
    <n v="939"/>
    <s v="LWF"/>
    <d v="2015-04-03T00:00:00"/>
  </r>
  <r>
    <s v="Rakhine"/>
    <x v="0"/>
    <x v="10"/>
    <s v="MMR012CMP017"/>
    <x v="1"/>
    <x v="0"/>
    <n v="740"/>
    <n v="-740"/>
    <s v="LWF"/>
    <d v="2015-04-03T00:00:00"/>
  </r>
  <r>
    <s v="Rakhine"/>
    <x v="0"/>
    <x v="10"/>
    <s v="MMR012CMP017"/>
    <x v="1"/>
    <x v="1"/>
    <n v="743"/>
    <n v="743"/>
    <s v="LWF"/>
    <d v="2015-04-03T00:00:00"/>
  </r>
  <r>
    <s v="Rakhine"/>
    <x v="0"/>
    <x v="10"/>
    <s v="MMR012CMP017"/>
    <x v="2"/>
    <x v="0"/>
    <n v="522"/>
    <n v="-522"/>
    <s v="LWF"/>
    <d v="2015-04-03T00:00:00"/>
  </r>
  <r>
    <s v="Rakhine"/>
    <x v="0"/>
    <x v="10"/>
    <s v="MMR012CMP017"/>
    <x v="2"/>
    <x v="1"/>
    <n v="383"/>
    <n v="383"/>
    <s v="LWF"/>
    <d v="2015-04-03T00:00:00"/>
  </r>
  <r>
    <s v="Rakhine"/>
    <x v="0"/>
    <x v="10"/>
    <s v="MMR012CMP017"/>
    <x v="3"/>
    <x v="0"/>
    <n v="509"/>
    <n v="-509"/>
    <s v="LWF"/>
    <d v="2015-04-03T00:00:00"/>
  </r>
  <r>
    <s v="Rakhine"/>
    <x v="0"/>
    <x v="10"/>
    <s v="MMR012CMP017"/>
    <x v="3"/>
    <x v="1"/>
    <n v="758"/>
    <n v="758"/>
    <s v="LWF"/>
    <d v="2015-04-03T00:00:00"/>
  </r>
  <r>
    <s v="Rakhine"/>
    <x v="0"/>
    <x v="10"/>
    <s v="MMR012CMP017"/>
    <x v="4"/>
    <x v="0"/>
    <n v="850"/>
    <n v="-850"/>
    <s v="LWF"/>
    <d v="2015-04-03T00:00:00"/>
  </r>
  <r>
    <s v="Rakhine"/>
    <x v="0"/>
    <x v="10"/>
    <s v="MMR012CMP017"/>
    <x v="4"/>
    <x v="1"/>
    <n v="747"/>
    <n v="747"/>
    <s v="LWF"/>
    <d v="2015-04-03T00:00:00"/>
  </r>
  <r>
    <s v="Rakhine"/>
    <x v="0"/>
    <x v="10"/>
    <s v="MMR012CMP017"/>
    <x v="5"/>
    <x v="0"/>
    <n v="117"/>
    <n v="-117"/>
    <s v="LWF"/>
    <d v="2015-04-03T00:00:00"/>
  </r>
  <r>
    <s v="Rakhine"/>
    <x v="0"/>
    <x v="10"/>
    <s v="MMR012CMP017"/>
    <x v="5"/>
    <x v="1"/>
    <n v="94"/>
    <n v="94"/>
    <s v="LWF"/>
    <d v="2015-04-03T00:00:00"/>
  </r>
  <r>
    <s v="Rakhine"/>
    <x v="1"/>
    <x v="11"/>
    <s v="MMR012CMP098"/>
    <x v="0"/>
    <x v="0"/>
    <n v="352"/>
    <n v="-352"/>
    <s v="DRC"/>
    <d v="2015-03-17T00:00:00"/>
  </r>
  <r>
    <s v="Rakhine"/>
    <x v="1"/>
    <x v="11"/>
    <s v="MMR012CMP098"/>
    <x v="0"/>
    <x v="1"/>
    <n v="415"/>
    <n v="415"/>
    <s v="DRC"/>
    <d v="2015-03-17T00:00:00"/>
  </r>
  <r>
    <s v="Rakhine"/>
    <x v="1"/>
    <x v="11"/>
    <s v="MMR012CMP098"/>
    <x v="1"/>
    <x v="0"/>
    <n v="429"/>
    <n v="-429"/>
    <s v="DRC"/>
    <d v="2015-03-17T00:00:00"/>
  </r>
  <r>
    <s v="Rakhine"/>
    <x v="1"/>
    <x v="11"/>
    <s v="MMR012CMP098"/>
    <x v="1"/>
    <x v="1"/>
    <n v="365"/>
    <n v="365"/>
    <s v="DRC"/>
    <d v="2015-03-17T00:00:00"/>
  </r>
  <r>
    <s v="Rakhine"/>
    <x v="1"/>
    <x v="11"/>
    <s v="MMR012CMP098"/>
    <x v="2"/>
    <x v="0"/>
    <n v="259"/>
    <n v="-259"/>
    <s v="DRC"/>
    <d v="2015-03-17T00:00:00"/>
  </r>
  <r>
    <s v="Rakhine"/>
    <x v="1"/>
    <x v="11"/>
    <s v="MMR012CMP098"/>
    <x v="2"/>
    <x v="1"/>
    <n v="224"/>
    <n v="224"/>
    <s v="DRC"/>
    <d v="2015-03-17T00:00:00"/>
  </r>
  <r>
    <s v="Rakhine"/>
    <x v="1"/>
    <x v="11"/>
    <s v="MMR012CMP098"/>
    <x v="3"/>
    <x v="0"/>
    <n v="243"/>
    <n v="-243"/>
    <s v="DRC"/>
    <d v="2015-03-17T00:00:00"/>
  </r>
  <r>
    <s v="Rakhine"/>
    <x v="1"/>
    <x v="11"/>
    <s v="MMR012CMP098"/>
    <x v="3"/>
    <x v="1"/>
    <n v="291"/>
    <n v="291"/>
    <s v="DRC"/>
    <d v="2015-03-17T00:00:00"/>
  </r>
  <r>
    <s v="Rakhine"/>
    <x v="1"/>
    <x v="11"/>
    <s v="MMR012CMP098"/>
    <x v="4"/>
    <x v="0"/>
    <n v="364"/>
    <n v="-364"/>
    <s v="DRC"/>
    <d v="2015-03-17T00:00:00"/>
  </r>
  <r>
    <s v="Rakhine"/>
    <x v="1"/>
    <x v="11"/>
    <s v="MMR012CMP098"/>
    <x v="4"/>
    <x v="1"/>
    <n v="375"/>
    <n v="375"/>
    <s v="DRC"/>
    <d v="2015-03-17T00:00:00"/>
  </r>
  <r>
    <s v="Rakhine"/>
    <x v="1"/>
    <x v="11"/>
    <s v="MMR012CMP098"/>
    <x v="5"/>
    <x v="0"/>
    <n v="45"/>
    <n v="-45"/>
    <s v="DRC"/>
    <d v="2015-03-17T00:00:00"/>
  </r>
  <r>
    <s v="Rakhine"/>
    <x v="1"/>
    <x v="11"/>
    <s v="MMR012CMP098"/>
    <x v="5"/>
    <x v="1"/>
    <n v="27"/>
    <n v="27"/>
    <s v="DRC"/>
    <d v="2015-03-17T00:00:00"/>
  </r>
  <r>
    <s v="Rakhine"/>
    <x v="1"/>
    <x v="12"/>
    <s v="MMR012CMP115"/>
    <x v="0"/>
    <x v="0"/>
    <n v="1479"/>
    <n v="-1479"/>
    <s v="DRC"/>
    <d v="2015-04-07T00:00:00"/>
  </r>
  <r>
    <s v="Rakhine"/>
    <x v="1"/>
    <x v="12"/>
    <s v="MMR012CMP115"/>
    <x v="0"/>
    <x v="1"/>
    <n v="1429"/>
    <n v="1429"/>
    <s v="DRC"/>
    <d v="2015-04-07T00:00:00"/>
  </r>
  <r>
    <s v="Rakhine"/>
    <x v="1"/>
    <x v="12"/>
    <s v="MMR012CMP115"/>
    <x v="1"/>
    <x v="0"/>
    <n v="1461"/>
    <n v="-1461"/>
    <s v="DRC"/>
    <d v="2015-04-07T00:00:00"/>
  </r>
  <r>
    <s v="Rakhine"/>
    <x v="1"/>
    <x v="12"/>
    <s v="MMR012CMP115"/>
    <x v="1"/>
    <x v="1"/>
    <n v="1300"/>
    <n v="1300"/>
    <s v="DRC"/>
    <d v="2015-04-07T00:00:00"/>
  </r>
  <r>
    <s v="Rakhine"/>
    <x v="1"/>
    <x v="12"/>
    <s v="MMR012CMP115"/>
    <x v="2"/>
    <x v="0"/>
    <n v="1004"/>
    <n v="-1004"/>
    <s v="DRC"/>
    <d v="2015-04-07T00:00:00"/>
  </r>
  <r>
    <s v="Rakhine"/>
    <x v="1"/>
    <x v="12"/>
    <s v="MMR012CMP115"/>
    <x v="2"/>
    <x v="1"/>
    <n v="907"/>
    <n v="907"/>
    <s v="DRC"/>
    <d v="2015-04-07T00:00:00"/>
  </r>
  <r>
    <s v="Rakhine"/>
    <x v="1"/>
    <x v="12"/>
    <s v="MMR012CMP115"/>
    <x v="3"/>
    <x v="0"/>
    <n v="1034"/>
    <n v="-1034"/>
    <s v="DRC"/>
    <d v="2015-04-07T00:00:00"/>
  </r>
  <r>
    <s v="Rakhine"/>
    <x v="1"/>
    <x v="12"/>
    <s v="MMR012CMP115"/>
    <x v="3"/>
    <x v="1"/>
    <n v="1495"/>
    <n v="1495"/>
    <s v="DRC"/>
    <d v="2015-04-07T00:00:00"/>
  </r>
  <r>
    <s v="Rakhine"/>
    <x v="1"/>
    <x v="12"/>
    <s v="MMR012CMP115"/>
    <x v="4"/>
    <x v="0"/>
    <n v="1406"/>
    <n v="-1406"/>
    <s v="DRC"/>
    <d v="2015-04-07T00:00:00"/>
  </r>
  <r>
    <s v="Rakhine"/>
    <x v="1"/>
    <x v="12"/>
    <s v="MMR012CMP115"/>
    <x v="4"/>
    <x v="1"/>
    <n v="1562"/>
    <n v="1562"/>
    <s v="DRC"/>
    <d v="2015-04-07T00:00:00"/>
  </r>
  <r>
    <s v="Rakhine"/>
    <x v="1"/>
    <x v="12"/>
    <s v="MMR012CMP115"/>
    <x v="5"/>
    <x v="0"/>
    <n v="259"/>
    <n v="-259"/>
    <s v="DRC"/>
    <d v="2015-04-07T00:00:00"/>
  </r>
  <r>
    <s v="Rakhine"/>
    <x v="1"/>
    <x v="12"/>
    <s v="MMR012CMP115"/>
    <x v="5"/>
    <x v="1"/>
    <n v="319"/>
    <n v="319"/>
    <s v="DRC"/>
    <d v="2015-04-07T00:00:00"/>
  </r>
  <r>
    <s v="Rakhine"/>
    <x v="1"/>
    <x v="13"/>
    <s v="MMR012CMP116"/>
    <x v="0"/>
    <x v="0"/>
    <n v="1179"/>
    <n v="-1179"/>
    <s v="LWF"/>
    <d v="2015-04-08T00:00:00"/>
  </r>
  <r>
    <s v="Rakhine"/>
    <x v="1"/>
    <x v="13"/>
    <s v="MMR012CMP116"/>
    <x v="0"/>
    <x v="1"/>
    <n v="1150"/>
    <n v="1150"/>
    <s v="LWF"/>
    <d v="2015-04-08T00:00:00"/>
  </r>
  <r>
    <s v="Rakhine"/>
    <x v="1"/>
    <x v="13"/>
    <s v="MMR012CMP116"/>
    <x v="1"/>
    <x v="0"/>
    <n v="1316"/>
    <n v="-1316"/>
    <s v="LWF"/>
    <d v="2015-04-08T00:00:00"/>
  </r>
  <r>
    <s v="Rakhine"/>
    <x v="1"/>
    <x v="13"/>
    <s v="MMR012CMP116"/>
    <x v="1"/>
    <x v="1"/>
    <n v="1190"/>
    <n v="1190"/>
    <s v="LWF"/>
    <d v="2015-04-08T00:00:00"/>
  </r>
  <r>
    <s v="Rakhine"/>
    <x v="1"/>
    <x v="13"/>
    <s v="MMR012CMP116"/>
    <x v="2"/>
    <x v="0"/>
    <n v="957"/>
    <n v="-957"/>
    <s v="LWF"/>
    <d v="2015-04-08T00:00:00"/>
  </r>
  <r>
    <s v="Rakhine"/>
    <x v="1"/>
    <x v="13"/>
    <s v="MMR012CMP116"/>
    <x v="2"/>
    <x v="1"/>
    <n v="835"/>
    <n v="835"/>
    <s v="LWF"/>
    <d v="2015-04-08T00:00:00"/>
  </r>
  <r>
    <s v="Rakhine"/>
    <x v="1"/>
    <x v="13"/>
    <s v="MMR012CMP116"/>
    <x v="3"/>
    <x v="0"/>
    <n v="799"/>
    <n v="-799"/>
    <s v="LWF"/>
    <d v="2015-04-08T00:00:00"/>
  </r>
  <r>
    <s v="Rakhine"/>
    <x v="1"/>
    <x v="13"/>
    <s v="MMR012CMP116"/>
    <x v="3"/>
    <x v="1"/>
    <n v="1214"/>
    <n v="1214"/>
    <s v="LWF"/>
    <d v="2015-04-08T00:00:00"/>
  </r>
  <r>
    <s v="Rakhine"/>
    <x v="1"/>
    <x v="13"/>
    <s v="MMR012CMP116"/>
    <x v="4"/>
    <x v="0"/>
    <n v="1331"/>
    <n v="-1331"/>
    <s v="LWF"/>
    <d v="2015-04-08T00:00:00"/>
  </r>
  <r>
    <s v="Rakhine"/>
    <x v="1"/>
    <x v="13"/>
    <s v="MMR012CMP116"/>
    <x v="4"/>
    <x v="1"/>
    <n v="1353"/>
    <n v="1353"/>
    <s v="LWF"/>
    <d v="2015-04-08T00:00:00"/>
  </r>
  <r>
    <s v="Rakhine"/>
    <x v="1"/>
    <x v="13"/>
    <s v="MMR012CMP116"/>
    <x v="5"/>
    <x v="0"/>
    <n v="197"/>
    <n v="-197"/>
    <s v="LWF"/>
    <d v="2015-04-08T00:00:00"/>
  </r>
  <r>
    <s v="Rakhine"/>
    <x v="1"/>
    <x v="13"/>
    <s v="MMR012CMP116"/>
    <x v="5"/>
    <x v="1"/>
    <n v="183"/>
    <n v="183"/>
    <s v="LWF"/>
    <d v="2015-04-08T00:00:00"/>
  </r>
  <r>
    <s v="Rakhine"/>
    <x v="1"/>
    <x v="14"/>
    <s v="MMR012CMP111"/>
    <x v="0"/>
    <x v="0"/>
    <n v="65"/>
    <n v="-65"/>
    <s v="SCI"/>
    <d v="2015-03-25T00:00:00"/>
  </r>
  <r>
    <s v="Rakhine"/>
    <x v="1"/>
    <x v="14"/>
    <s v="MMR012CMP111"/>
    <x v="0"/>
    <x v="1"/>
    <n v="56"/>
    <n v="56"/>
    <s v="SCI"/>
    <d v="2015-03-25T00:00:00"/>
  </r>
  <r>
    <s v="Rakhine"/>
    <x v="1"/>
    <x v="14"/>
    <s v="MMR012CMP111"/>
    <x v="1"/>
    <x v="0"/>
    <n v="84"/>
    <n v="-84"/>
    <s v="SCI"/>
    <d v="2015-03-25T00:00:00"/>
  </r>
  <r>
    <s v="Rakhine"/>
    <x v="1"/>
    <x v="14"/>
    <s v="MMR012CMP111"/>
    <x v="1"/>
    <x v="1"/>
    <n v="73"/>
    <n v="73"/>
    <s v="SCI"/>
    <d v="2015-03-25T00:00:00"/>
  </r>
  <r>
    <s v="Rakhine"/>
    <x v="1"/>
    <x v="14"/>
    <s v="MMR012CMP111"/>
    <x v="2"/>
    <x v="0"/>
    <n v="72"/>
    <n v="-72"/>
    <s v="SCI"/>
    <d v="2015-03-25T00:00:00"/>
  </r>
  <r>
    <s v="Rakhine"/>
    <x v="1"/>
    <x v="14"/>
    <s v="MMR012CMP111"/>
    <x v="2"/>
    <x v="1"/>
    <n v="95"/>
    <n v="95"/>
    <s v="SCI"/>
    <d v="2015-03-25T00:00:00"/>
  </r>
  <r>
    <s v="Rakhine"/>
    <x v="1"/>
    <x v="14"/>
    <s v="MMR012CMP111"/>
    <x v="3"/>
    <x v="0"/>
    <n v="92"/>
    <n v="-92"/>
    <s v="SCI"/>
    <d v="2015-03-25T00:00:00"/>
  </r>
  <r>
    <s v="Rakhine"/>
    <x v="1"/>
    <x v="14"/>
    <s v="MMR012CMP111"/>
    <x v="3"/>
    <x v="1"/>
    <n v="117"/>
    <n v="117"/>
    <s v="SCI"/>
    <d v="2015-03-25T00:00:00"/>
  </r>
  <r>
    <s v="Rakhine"/>
    <x v="1"/>
    <x v="14"/>
    <s v="MMR012CMP111"/>
    <x v="4"/>
    <x v="0"/>
    <n v="265"/>
    <n v="-265"/>
    <s v="SCI"/>
    <d v="2015-03-25T00:00:00"/>
  </r>
  <r>
    <s v="Rakhine"/>
    <x v="1"/>
    <x v="14"/>
    <s v="MMR012CMP111"/>
    <x v="4"/>
    <x v="1"/>
    <n v="264"/>
    <n v="264"/>
    <s v="SCI"/>
    <d v="2015-03-25T00:00:00"/>
  </r>
  <r>
    <s v="Rakhine"/>
    <x v="1"/>
    <x v="14"/>
    <s v="MMR012CMP111"/>
    <x v="5"/>
    <x v="0"/>
    <n v="40"/>
    <n v="-40"/>
    <s v="SCI"/>
    <d v="2015-03-25T00:00:00"/>
  </r>
  <r>
    <s v="Rakhine"/>
    <x v="1"/>
    <x v="14"/>
    <s v="MMR012CMP111"/>
    <x v="5"/>
    <x v="1"/>
    <n v="59"/>
    <n v="59"/>
    <s v="SCI"/>
    <d v="2015-03-25T00:00:00"/>
  </r>
  <r>
    <s v="Rakhine"/>
    <x v="1"/>
    <x v="15"/>
    <s v="MMR012CMP112"/>
    <x v="0"/>
    <x v="0"/>
    <n v="112"/>
    <n v="-112"/>
    <s v="UNHCR"/>
    <d v="2015-03-18T00:00:00"/>
  </r>
  <r>
    <s v="Rakhine"/>
    <x v="1"/>
    <x v="15"/>
    <s v="MMR012CMP112"/>
    <x v="0"/>
    <x v="1"/>
    <n v="122"/>
    <n v="122"/>
    <s v="UNHCR"/>
    <d v="2015-03-18T00:00:00"/>
  </r>
  <r>
    <s v="Rakhine"/>
    <x v="1"/>
    <x v="15"/>
    <s v="MMR012CMP112"/>
    <x v="1"/>
    <x v="0"/>
    <n v="127"/>
    <n v="-127"/>
    <s v="UNHCR"/>
    <d v="2015-03-18T00:00:00"/>
  </r>
  <r>
    <s v="Rakhine"/>
    <x v="1"/>
    <x v="15"/>
    <s v="MMR012CMP112"/>
    <x v="1"/>
    <x v="1"/>
    <n v="128"/>
    <n v="128"/>
    <s v="UNHCR"/>
    <d v="2015-03-18T00:00:00"/>
  </r>
  <r>
    <s v="Rakhine"/>
    <x v="1"/>
    <x v="15"/>
    <s v="MMR012CMP112"/>
    <x v="2"/>
    <x v="0"/>
    <n v="148"/>
    <n v="-148"/>
    <s v="UNHCR"/>
    <d v="2015-03-18T00:00:00"/>
  </r>
  <r>
    <s v="Rakhine"/>
    <x v="1"/>
    <x v="15"/>
    <s v="MMR012CMP112"/>
    <x v="2"/>
    <x v="1"/>
    <n v="144"/>
    <n v="144"/>
    <s v="UNHCR"/>
    <d v="2015-03-18T00:00:00"/>
  </r>
  <r>
    <s v="Rakhine"/>
    <x v="1"/>
    <x v="15"/>
    <s v="MMR012CMP112"/>
    <x v="3"/>
    <x v="0"/>
    <n v="184"/>
    <n v="-184"/>
    <s v="UNHCR"/>
    <d v="2015-03-18T00:00:00"/>
  </r>
  <r>
    <s v="Rakhine"/>
    <x v="1"/>
    <x v="15"/>
    <s v="MMR012CMP112"/>
    <x v="3"/>
    <x v="1"/>
    <n v="199"/>
    <n v="199"/>
    <s v="UNHCR"/>
    <d v="2015-03-18T00:00:00"/>
  </r>
  <r>
    <s v="Rakhine"/>
    <x v="1"/>
    <x v="15"/>
    <s v="MMR012CMP112"/>
    <x v="4"/>
    <x v="0"/>
    <n v="434"/>
    <n v="-434"/>
    <s v="UNHCR"/>
    <d v="2015-03-18T00:00:00"/>
  </r>
  <r>
    <s v="Rakhine"/>
    <x v="1"/>
    <x v="15"/>
    <s v="MMR012CMP112"/>
    <x v="4"/>
    <x v="1"/>
    <n v="445"/>
    <n v="445"/>
    <s v="UNHCR"/>
    <d v="2015-03-18T00:00:00"/>
  </r>
  <r>
    <s v="Rakhine"/>
    <x v="1"/>
    <x v="15"/>
    <s v="MMR012CMP112"/>
    <x v="5"/>
    <x v="0"/>
    <n v="65"/>
    <n v="-65"/>
    <s v="UNHCR"/>
    <d v="2015-03-18T00:00:00"/>
  </r>
  <r>
    <s v="Rakhine"/>
    <x v="1"/>
    <x v="15"/>
    <s v="MMR012CMP112"/>
    <x v="5"/>
    <x v="1"/>
    <n v="92"/>
    <n v="92"/>
    <s v="UNHCR"/>
    <d v="2015-03-18T00:00:00"/>
  </r>
  <r>
    <s v="Rakhine"/>
    <x v="1"/>
    <x v="16"/>
    <s v="MMR012CMP045"/>
    <x v="0"/>
    <x v="0"/>
    <n v="1277"/>
    <n v="-1277"/>
    <s v="DRC"/>
    <d v="2015-04-08T00:00:00"/>
  </r>
  <r>
    <s v="Rakhine"/>
    <x v="1"/>
    <x v="16"/>
    <s v="MMR012CMP045"/>
    <x v="0"/>
    <x v="1"/>
    <n v="1293"/>
    <n v="1293"/>
    <s v="DRC"/>
    <d v="2015-04-08T00:00:00"/>
  </r>
  <r>
    <s v="Rakhine"/>
    <x v="1"/>
    <x v="16"/>
    <s v="MMR012CMP045"/>
    <x v="1"/>
    <x v="0"/>
    <n v="1337"/>
    <n v="-1337"/>
    <s v="DRC"/>
    <d v="2015-04-08T00:00:00"/>
  </r>
  <r>
    <s v="Rakhine"/>
    <x v="1"/>
    <x v="16"/>
    <s v="MMR012CMP045"/>
    <x v="1"/>
    <x v="1"/>
    <n v="1219"/>
    <n v="1219"/>
    <s v="DRC"/>
    <d v="2015-04-08T00:00:00"/>
  </r>
  <r>
    <s v="Rakhine"/>
    <x v="1"/>
    <x v="16"/>
    <s v="MMR012CMP045"/>
    <x v="2"/>
    <x v="0"/>
    <n v="852"/>
    <n v="-852"/>
    <s v="DRC"/>
    <d v="2015-04-08T00:00:00"/>
  </r>
  <r>
    <s v="Rakhine"/>
    <x v="1"/>
    <x v="16"/>
    <s v="MMR012CMP045"/>
    <x v="2"/>
    <x v="1"/>
    <n v="844"/>
    <n v="844"/>
    <s v="DRC"/>
    <d v="2015-04-08T00:00:00"/>
  </r>
  <r>
    <s v="Rakhine"/>
    <x v="1"/>
    <x v="16"/>
    <s v="MMR012CMP045"/>
    <x v="3"/>
    <x v="0"/>
    <n v="901"/>
    <n v="-901"/>
    <s v="DRC"/>
    <d v="2015-04-08T00:00:00"/>
  </r>
  <r>
    <s v="Rakhine"/>
    <x v="1"/>
    <x v="16"/>
    <s v="MMR012CMP045"/>
    <x v="3"/>
    <x v="1"/>
    <n v="1275"/>
    <n v="1275"/>
    <s v="DRC"/>
    <d v="2015-04-08T00:00:00"/>
  </r>
  <r>
    <s v="Rakhine"/>
    <x v="1"/>
    <x v="16"/>
    <s v="MMR012CMP045"/>
    <x v="4"/>
    <x v="0"/>
    <n v="1335"/>
    <n v="-1335"/>
    <s v="DRC"/>
    <d v="2015-04-08T00:00:00"/>
  </r>
  <r>
    <s v="Rakhine"/>
    <x v="1"/>
    <x v="16"/>
    <s v="MMR012CMP045"/>
    <x v="4"/>
    <x v="1"/>
    <n v="1475"/>
    <n v="1475"/>
    <s v="DRC"/>
    <d v="2015-04-08T00:00:00"/>
  </r>
  <r>
    <s v="Rakhine"/>
    <x v="1"/>
    <x v="16"/>
    <s v="MMR012CMP045"/>
    <x v="5"/>
    <x v="0"/>
    <n v="190"/>
    <n v="-190"/>
    <s v="DRC"/>
    <d v="2015-04-08T00:00:00"/>
  </r>
  <r>
    <s v="Rakhine"/>
    <x v="1"/>
    <x v="16"/>
    <s v="MMR012CMP045"/>
    <x v="5"/>
    <x v="1"/>
    <n v="180"/>
    <n v="180"/>
    <s v="DRC"/>
    <d v="2015-04-08T00:00:00"/>
  </r>
  <r>
    <s v="Rakhine"/>
    <x v="1"/>
    <x v="17"/>
    <s v="MMR012CMP056"/>
    <x v="0"/>
    <x v="0"/>
    <n v="25"/>
    <n v="-25"/>
    <s v="LWF"/>
    <d v="2015-03-20T00:00:00"/>
  </r>
  <r>
    <s v="Rakhine"/>
    <x v="1"/>
    <x v="17"/>
    <s v="MMR012CMP056"/>
    <x v="0"/>
    <x v="1"/>
    <n v="24"/>
    <n v="24"/>
    <s v="LWF"/>
    <d v="2015-03-20T00:00:00"/>
  </r>
  <r>
    <s v="Rakhine"/>
    <x v="1"/>
    <x v="17"/>
    <s v="MMR012CMP056"/>
    <x v="1"/>
    <x v="0"/>
    <n v="25"/>
    <n v="-25"/>
    <s v="LWF"/>
    <d v="2015-03-20T00:00:00"/>
  </r>
  <r>
    <s v="Rakhine"/>
    <x v="1"/>
    <x v="17"/>
    <s v="MMR012CMP056"/>
    <x v="1"/>
    <x v="1"/>
    <n v="31"/>
    <n v="31"/>
    <s v="LWF"/>
    <d v="2015-03-20T00:00:00"/>
  </r>
  <r>
    <s v="Rakhine"/>
    <x v="1"/>
    <x v="17"/>
    <s v="MMR012CMP056"/>
    <x v="2"/>
    <x v="0"/>
    <n v="39"/>
    <n v="-39"/>
    <s v="LWF"/>
    <d v="2015-03-20T00:00:00"/>
  </r>
  <r>
    <s v="Rakhine"/>
    <x v="1"/>
    <x v="17"/>
    <s v="MMR012CMP056"/>
    <x v="2"/>
    <x v="1"/>
    <n v="34"/>
    <n v="34"/>
    <s v="LWF"/>
    <d v="2015-03-20T00:00:00"/>
  </r>
  <r>
    <s v="Rakhine"/>
    <x v="1"/>
    <x v="17"/>
    <s v="MMR012CMP056"/>
    <x v="3"/>
    <x v="0"/>
    <n v="50"/>
    <n v="-50"/>
    <s v="LWF"/>
    <d v="2015-03-20T00:00:00"/>
  </r>
  <r>
    <s v="Rakhine"/>
    <x v="1"/>
    <x v="17"/>
    <s v="MMR012CMP056"/>
    <x v="3"/>
    <x v="1"/>
    <n v="53"/>
    <n v="53"/>
    <s v="LWF"/>
    <d v="2015-03-20T00:00:00"/>
  </r>
  <r>
    <s v="Rakhine"/>
    <x v="1"/>
    <x v="17"/>
    <s v="MMR012CMP056"/>
    <x v="4"/>
    <x v="0"/>
    <n v="79"/>
    <n v="-79"/>
    <s v="LWF"/>
    <d v="2015-03-20T00:00:00"/>
  </r>
  <r>
    <s v="Rakhine"/>
    <x v="1"/>
    <x v="17"/>
    <s v="MMR012CMP056"/>
    <x v="4"/>
    <x v="1"/>
    <n v="80"/>
    <n v="80"/>
    <s v="LWF"/>
    <d v="2015-03-20T00:00:00"/>
  </r>
  <r>
    <s v="Rakhine"/>
    <x v="1"/>
    <x v="17"/>
    <s v="MMR012CMP056"/>
    <x v="5"/>
    <x v="0"/>
    <n v="9"/>
    <n v="-9"/>
    <s v="LWF"/>
    <d v="2015-03-20T00:00:00"/>
  </r>
  <r>
    <s v="Rakhine"/>
    <x v="1"/>
    <x v="17"/>
    <s v="MMR012CMP056"/>
    <x v="5"/>
    <x v="1"/>
    <n v="13"/>
    <n v="13"/>
    <s v="LWF"/>
    <d v="2015-03-20T00:00:00"/>
  </r>
  <r>
    <s v="Rakhine"/>
    <x v="1"/>
    <x v="18"/>
    <s v="MMR012CMP093"/>
    <x v="0"/>
    <x v="0"/>
    <n v="50"/>
    <n v="-50"/>
    <s v="LWF"/>
    <d v="2015-03-20T00:00:00"/>
  </r>
  <r>
    <s v="Rakhine"/>
    <x v="1"/>
    <x v="18"/>
    <s v="MMR012CMP093"/>
    <x v="0"/>
    <x v="1"/>
    <n v="63"/>
    <n v="63"/>
    <s v="LWF"/>
    <d v="2015-03-20T00:00:00"/>
  </r>
  <r>
    <s v="Rakhine"/>
    <x v="1"/>
    <x v="18"/>
    <s v="MMR012CMP093"/>
    <x v="1"/>
    <x v="0"/>
    <n v="41"/>
    <n v="-41"/>
    <s v="LWF"/>
    <d v="2015-03-20T00:00:00"/>
  </r>
  <r>
    <s v="Rakhine"/>
    <x v="1"/>
    <x v="18"/>
    <s v="MMR012CMP093"/>
    <x v="1"/>
    <x v="1"/>
    <n v="44"/>
    <n v="44"/>
    <s v="LWF"/>
    <d v="2015-03-20T00:00:00"/>
  </r>
  <r>
    <s v="Rakhine"/>
    <x v="1"/>
    <x v="18"/>
    <s v="MMR012CMP093"/>
    <x v="2"/>
    <x v="0"/>
    <n v="40"/>
    <n v="-40"/>
    <s v="LWF"/>
    <d v="2015-03-20T00:00:00"/>
  </r>
  <r>
    <s v="Rakhine"/>
    <x v="1"/>
    <x v="18"/>
    <s v="MMR012CMP093"/>
    <x v="2"/>
    <x v="1"/>
    <n v="36"/>
    <n v="36"/>
    <s v="LWF"/>
    <d v="2015-03-20T00:00:00"/>
  </r>
  <r>
    <s v="Rakhine"/>
    <x v="1"/>
    <x v="18"/>
    <s v="MMR012CMP093"/>
    <x v="3"/>
    <x v="0"/>
    <n v="40"/>
    <n v="-40"/>
    <s v="LWF"/>
    <d v="2015-03-20T00:00:00"/>
  </r>
  <r>
    <s v="Rakhine"/>
    <x v="1"/>
    <x v="18"/>
    <s v="MMR012CMP093"/>
    <x v="3"/>
    <x v="1"/>
    <n v="51"/>
    <n v="51"/>
    <s v="LWF"/>
    <d v="2015-03-20T00:00:00"/>
  </r>
  <r>
    <s v="Rakhine"/>
    <x v="1"/>
    <x v="18"/>
    <s v="MMR012CMP093"/>
    <x v="4"/>
    <x v="0"/>
    <n v="121"/>
    <n v="-121"/>
    <s v="LWF"/>
    <d v="2015-03-20T00:00:00"/>
  </r>
  <r>
    <s v="Rakhine"/>
    <x v="1"/>
    <x v="18"/>
    <s v="MMR012CMP093"/>
    <x v="4"/>
    <x v="1"/>
    <n v="124"/>
    <n v="124"/>
    <s v="LWF"/>
    <d v="2015-03-20T00:00:00"/>
  </r>
  <r>
    <s v="Rakhine"/>
    <x v="1"/>
    <x v="18"/>
    <s v="MMR012CMP093"/>
    <x v="5"/>
    <x v="0"/>
    <n v="7"/>
    <n v="-7"/>
    <s v="LWF"/>
    <d v="2015-03-20T00:00:00"/>
  </r>
  <r>
    <s v="Rakhine"/>
    <x v="1"/>
    <x v="18"/>
    <s v="MMR012CMP093"/>
    <x v="5"/>
    <x v="1"/>
    <n v="23"/>
    <n v="23"/>
    <s v="LWF"/>
    <d v="2015-03-20T00:00:00"/>
  </r>
  <r>
    <s v="Rakhine"/>
    <x v="0"/>
    <x v="19"/>
    <s v="MMR012CMP019"/>
    <x v="0"/>
    <x v="0"/>
    <n v="231"/>
    <n v="-231"/>
    <s v="SCI"/>
    <d v="2015-07-27T00:00:00"/>
  </r>
  <r>
    <s v="Rakhine"/>
    <x v="0"/>
    <x v="19"/>
    <s v="MMR012CMP019"/>
    <x v="0"/>
    <x v="1"/>
    <n v="196"/>
    <n v="196"/>
    <s v="SCI"/>
    <d v="2015-07-27T00:00:00"/>
  </r>
  <r>
    <s v="Rakhine"/>
    <x v="0"/>
    <x v="19"/>
    <s v="MMR012CMP019"/>
    <x v="1"/>
    <x v="0"/>
    <n v="218"/>
    <n v="-218"/>
    <s v="SCI"/>
    <d v="2015-07-27T00:00:00"/>
  </r>
  <r>
    <s v="Rakhine"/>
    <x v="0"/>
    <x v="19"/>
    <s v="MMR012CMP019"/>
    <x v="1"/>
    <x v="1"/>
    <n v="204"/>
    <n v="204"/>
    <s v="SCI"/>
    <d v="2015-07-27T00:00:00"/>
  </r>
  <r>
    <s v="Rakhine"/>
    <x v="0"/>
    <x v="19"/>
    <s v="MMR012CMP019"/>
    <x v="2"/>
    <x v="0"/>
    <n v="199"/>
    <n v="-199"/>
    <s v="SCI"/>
    <d v="2015-07-27T00:00:00"/>
  </r>
  <r>
    <s v="Rakhine"/>
    <x v="0"/>
    <x v="19"/>
    <s v="MMR012CMP019"/>
    <x v="2"/>
    <x v="1"/>
    <n v="179"/>
    <n v="179"/>
    <s v="SCI"/>
    <d v="2015-07-27T00:00:00"/>
  </r>
  <r>
    <s v="Rakhine"/>
    <x v="0"/>
    <x v="19"/>
    <s v="MMR012CMP019"/>
    <x v="3"/>
    <x v="0"/>
    <n v="216"/>
    <n v="-216"/>
    <s v="SCI"/>
    <d v="2015-07-27T00:00:00"/>
  </r>
  <r>
    <s v="Rakhine"/>
    <x v="0"/>
    <x v="19"/>
    <s v="MMR012CMP019"/>
    <x v="3"/>
    <x v="1"/>
    <n v="248"/>
    <n v="248"/>
    <s v="SCI"/>
    <d v="2015-07-27T00:00:00"/>
  </r>
  <r>
    <s v="Rakhine"/>
    <x v="0"/>
    <x v="19"/>
    <s v="MMR012CMP019"/>
    <x v="4"/>
    <x v="0"/>
    <n v="422"/>
    <n v="-422"/>
    <s v="SCI"/>
    <d v="2015-07-27T00:00:00"/>
  </r>
  <r>
    <s v="Rakhine"/>
    <x v="0"/>
    <x v="19"/>
    <s v="MMR012CMP019"/>
    <x v="4"/>
    <x v="1"/>
    <n v="454"/>
    <n v="454"/>
    <s v="SCI"/>
    <d v="2015-07-27T00:00:00"/>
  </r>
  <r>
    <s v="Rakhine"/>
    <x v="0"/>
    <x v="19"/>
    <s v="MMR012CMP019"/>
    <x v="5"/>
    <x v="0"/>
    <n v="40"/>
    <n v="-40"/>
    <s v="SCI"/>
    <d v="2015-07-27T00:00:00"/>
  </r>
  <r>
    <s v="Rakhine"/>
    <x v="0"/>
    <x v="19"/>
    <s v="MMR012CMP019"/>
    <x v="5"/>
    <x v="1"/>
    <n v="61"/>
    <n v="61"/>
    <s v="SCI"/>
    <d v="2015-07-27T00:00:00"/>
  </r>
  <r>
    <s v="Rakhine"/>
    <x v="2"/>
    <x v="20"/>
    <s v="MMR012CMP014"/>
    <x v="0"/>
    <x v="0"/>
    <n v="238"/>
    <n v="-238"/>
    <s v="RI"/>
    <d v="2015-05-04T00:00:00"/>
  </r>
  <r>
    <s v="Rakhine"/>
    <x v="2"/>
    <x v="20"/>
    <s v="MMR012CMP014"/>
    <x v="0"/>
    <x v="1"/>
    <n v="266"/>
    <n v="266"/>
    <s v="RI"/>
    <d v="2015-05-04T00:00:00"/>
  </r>
  <r>
    <s v="Rakhine"/>
    <x v="2"/>
    <x v="20"/>
    <s v="MMR012CMP014"/>
    <x v="1"/>
    <x v="0"/>
    <n v="237"/>
    <n v="-237"/>
    <s v="RI"/>
    <d v="2015-05-04T00:00:00"/>
  </r>
  <r>
    <s v="Rakhine"/>
    <x v="2"/>
    <x v="20"/>
    <s v="MMR012CMP014"/>
    <x v="1"/>
    <x v="1"/>
    <n v="259"/>
    <n v="259"/>
    <s v="RI"/>
    <d v="2015-05-04T00:00:00"/>
  </r>
  <r>
    <s v="Rakhine"/>
    <x v="2"/>
    <x v="20"/>
    <s v="MMR012CMP014"/>
    <x v="2"/>
    <x v="0"/>
    <n v="193"/>
    <n v="-193"/>
    <s v="RI"/>
    <d v="2015-05-04T00:00:00"/>
  </r>
  <r>
    <s v="Rakhine"/>
    <x v="2"/>
    <x v="20"/>
    <s v="MMR012CMP014"/>
    <x v="2"/>
    <x v="1"/>
    <n v="209"/>
    <n v="209"/>
    <s v="RI"/>
    <d v="2015-05-04T00:00:00"/>
  </r>
  <r>
    <s v="Rakhine"/>
    <x v="2"/>
    <x v="20"/>
    <s v="MMR012CMP014"/>
    <x v="3"/>
    <x v="0"/>
    <n v="165"/>
    <n v="-165"/>
    <s v="RI"/>
    <d v="2015-05-04T00:00:00"/>
  </r>
  <r>
    <s v="Rakhine"/>
    <x v="2"/>
    <x v="20"/>
    <s v="MMR012CMP014"/>
    <x v="3"/>
    <x v="1"/>
    <n v="195"/>
    <n v="195"/>
    <s v="RI"/>
    <d v="2015-05-04T00:00:00"/>
  </r>
  <r>
    <s v="Rakhine"/>
    <x v="2"/>
    <x v="20"/>
    <s v="MMR012CMP014"/>
    <x v="4"/>
    <x v="0"/>
    <n v="375"/>
    <n v="-375"/>
    <s v="RI"/>
    <d v="2015-05-04T00:00:00"/>
  </r>
  <r>
    <s v="Rakhine"/>
    <x v="2"/>
    <x v="20"/>
    <s v="MMR012CMP014"/>
    <x v="4"/>
    <x v="1"/>
    <n v="471"/>
    <n v="471"/>
    <s v="RI"/>
    <d v="2015-05-04T00:00:00"/>
  </r>
  <r>
    <s v="Rakhine"/>
    <x v="2"/>
    <x v="20"/>
    <s v="MMR012CMP014"/>
    <x v="5"/>
    <x v="0"/>
    <n v="51"/>
    <n v="-51"/>
    <s v="RI"/>
    <d v="2015-05-04T00:00:00"/>
  </r>
  <r>
    <s v="Rakhine"/>
    <x v="2"/>
    <x v="20"/>
    <s v="MMR012CMP014"/>
    <x v="5"/>
    <x v="1"/>
    <n v="42"/>
    <n v="42"/>
    <s v="RI"/>
    <d v="2015-05-04T00:00:00"/>
  </r>
  <r>
    <s v="Rakhine"/>
    <x v="1"/>
    <x v="21"/>
    <s v="MMR012CMP046"/>
    <x v="0"/>
    <x v="0"/>
    <n v="842"/>
    <n v="-842"/>
    <s v="LWF"/>
    <d v="2015-04-19T00:00:00"/>
  </r>
  <r>
    <s v="Rakhine"/>
    <x v="1"/>
    <x v="21"/>
    <s v="MMR012CMP046"/>
    <x v="0"/>
    <x v="1"/>
    <n v="951"/>
    <n v="951"/>
    <s v="LWF"/>
    <d v="2015-04-19T00:00:00"/>
  </r>
  <r>
    <s v="Rakhine"/>
    <x v="1"/>
    <x v="21"/>
    <s v="MMR012CMP046"/>
    <x v="1"/>
    <x v="0"/>
    <n v="1027"/>
    <n v="-1027"/>
    <s v="LWF"/>
    <d v="2015-04-19T00:00:00"/>
  </r>
  <r>
    <s v="Rakhine"/>
    <x v="1"/>
    <x v="21"/>
    <s v="MMR012CMP046"/>
    <x v="1"/>
    <x v="1"/>
    <n v="987"/>
    <n v="987"/>
    <s v="LWF"/>
    <d v="2015-04-19T00:00:00"/>
  </r>
  <r>
    <s v="Rakhine"/>
    <x v="1"/>
    <x v="21"/>
    <s v="MMR012CMP046"/>
    <x v="2"/>
    <x v="0"/>
    <n v="960"/>
    <n v="-960"/>
    <s v="LWF"/>
    <d v="2015-04-19T00:00:00"/>
  </r>
  <r>
    <s v="Rakhine"/>
    <x v="1"/>
    <x v="21"/>
    <s v="MMR012CMP046"/>
    <x v="2"/>
    <x v="1"/>
    <n v="924"/>
    <n v="924"/>
    <s v="LWF"/>
    <d v="2015-04-19T00:00:00"/>
  </r>
  <r>
    <s v="Rakhine"/>
    <x v="1"/>
    <x v="21"/>
    <s v="MMR012CMP046"/>
    <x v="3"/>
    <x v="0"/>
    <n v="1002"/>
    <n v="-1002"/>
    <s v="LWF"/>
    <d v="2015-04-19T00:00:00"/>
  </r>
  <r>
    <s v="Rakhine"/>
    <x v="1"/>
    <x v="21"/>
    <s v="MMR012CMP046"/>
    <x v="3"/>
    <x v="1"/>
    <n v="1217"/>
    <n v="1217"/>
    <s v="LWF"/>
    <d v="2015-04-19T00:00:00"/>
  </r>
  <r>
    <s v="Rakhine"/>
    <x v="1"/>
    <x v="21"/>
    <s v="MMR012CMP046"/>
    <x v="4"/>
    <x v="0"/>
    <n v="1554"/>
    <n v="-1554"/>
    <s v="LWF"/>
    <d v="2015-04-19T00:00:00"/>
  </r>
  <r>
    <s v="Rakhine"/>
    <x v="1"/>
    <x v="21"/>
    <s v="MMR012CMP046"/>
    <x v="4"/>
    <x v="1"/>
    <n v="1821"/>
    <n v="1821"/>
    <s v="LWF"/>
    <d v="2015-04-19T00:00:00"/>
  </r>
  <r>
    <s v="Rakhine"/>
    <x v="1"/>
    <x v="21"/>
    <s v="MMR012CMP046"/>
    <x v="5"/>
    <x v="0"/>
    <n v="208"/>
    <n v="-208"/>
    <s v="LWF"/>
    <d v="2015-04-19T00:00:00"/>
  </r>
  <r>
    <s v="Rakhine"/>
    <x v="1"/>
    <x v="21"/>
    <s v="MMR012CMP046"/>
    <x v="5"/>
    <x v="1"/>
    <n v="170"/>
    <n v="170"/>
    <s v="LWF"/>
    <d v="2015-04-19T00:00:00"/>
  </r>
  <r>
    <s v="Rakhine"/>
    <x v="1"/>
    <x v="22"/>
    <s v="MMR012CMP048"/>
    <x v="0"/>
    <x v="0"/>
    <n v="523"/>
    <n v="-523"/>
    <s v="SCI"/>
    <d v="2015-06-16T00:00:00"/>
  </r>
  <r>
    <s v="Rakhine"/>
    <x v="1"/>
    <x v="22"/>
    <s v="MMR012CMP048"/>
    <x v="0"/>
    <x v="1"/>
    <n v="564"/>
    <n v="564"/>
    <s v="SCI"/>
    <d v="2015-06-16T00:00:00"/>
  </r>
  <r>
    <s v="Rakhine"/>
    <x v="1"/>
    <x v="22"/>
    <s v="MMR012CMP048"/>
    <x v="1"/>
    <x v="0"/>
    <n v="490"/>
    <n v="-490"/>
    <s v="SCI"/>
    <d v="2015-06-16T00:00:00"/>
  </r>
  <r>
    <s v="Rakhine"/>
    <x v="1"/>
    <x v="22"/>
    <s v="MMR012CMP048"/>
    <x v="1"/>
    <x v="1"/>
    <n v="470"/>
    <n v="470"/>
    <s v="SCI"/>
    <d v="2015-06-16T00:00:00"/>
  </r>
  <r>
    <s v="Rakhine"/>
    <x v="1"/>
    <x v="22"/>
    <s v="MMR012CMP048"/>
    <x v="2"/>
    <x v="0"/>
    <n v="399"/>
    <n v="-399"/>
    <s v="SCI"/>
    <d v="2015-06-16T00:00:00"/>
  </r>
  <r>
    <s v="Rakhine"/>
    <x v="1"/>
    <x v="22"/>
    <s v="MMR012CMP048"/>
    <x v="2"/>
    <x v="1"/>
    <n v="409"/>
    <n v="409"/>
    <s v="SCI"/>
    <d v="2015-06-16T00:00:00"/>
  </r>
  <r>
    <s v="Rakhine"/>
    <x v="1"/>
    <x v="22"/>
    <s v="MMR012CMP048"/>
    <x v="3"/>
    <x v="0"/>
    <n v="399"/>
    <n v="-399"/>
    <s v="SCI"/>
    <d v="2015-06-16T00:00:00"/>
  </r>
  <r>
    <s v="Rakhine"/>
    <x v="1"/>
    <x v="22"/>
    <s v="MMR012CMP048"/>
    <x v="3"/>
    <x v="1"/>
    <n v="508"/>
    <n v="508"/>
    <s v="SCI"/>
    <d v="2015-06-16T00:00:00"/>
  </r>
  <r>
    <s v="Rakhine"/>
    <x v="1"/>
    <x v="22"/>
    <s v="MMR012CMP048"/>
    <x v="4"/>
    <x v="0"/>
    <n v="810"/>
    <n v="-810"/>
    <s v="SCI"/>
    <d v="2015-06-16T00:00:00"/>
  </r>
  <r>
    <s v="Rakhine"/>
    <x v="1"/>
    <x v="22"/>
    <s v="MMR012CMP048"/>
    <x v="4"/>
    <x v="1"/>
    <n v="887"/>
    <n v="887"/>
    <s v="SCI"/>
    <d v="2015-06-16T00:00:00"/>
  </r>
  <r>
    <s v="Rakhine"/>
    <x v="1"/>
    <x v="22"/>
    <s v="MMR012CMP048"/>
    <x v="5"/>
    <x v="0"/>
    <n v="100"/>
    <n v="-100"/>
    <s v="SCI"/>
    <d v="2015-06-16T00:00:00"/>
  </r>
  <r>
    <s v="Rakhine"/>
    <x v="1"/>
    <x v="22"/>
    <s v="MMR012CMP048"/>
    <x v="5"/>
    <x v="1"/>
    <n v="97"/>
    <n v="97"/>
    <s v="SCI"/>
    <d v="2015-06-16T00:00:00"/>
  </r>
</pivotCacheRecords>
</file>

<file path=xl/pivotCache/pivotCacheRecords2.xml><?xml version="1.0" encoding="utf-8"?>
<pivotCacheRecords xmlns="http://schemas.openxmlformats.org/spreadsheetml/2006/main" xmlns:r="http://schemas.openxmlformats.org/officeDocument/2006/relationships" count="184">
  <r>
    <s v="Rakhine"/>
    <s v="Pauktaw"/>
    <s v="Ah Nauk Ywe"/>
    <s v="MMR012CMP016"/>
    <x v="0"/>
    <m/>
    <s v="LWF"/>
    <d v="2015-04-06T00:00:00"/>
  </r>
  <r>
    <s v="Rakhine"/>
    <s v="Pauktaw"/>
    <s v="Ah Nauk Ywe"/>
    <s v="MMR012CMP016"/>
    <x v="1"/>
    <n v="1"/>
    <s v="LWF"/>
    <d v="2015-04-06T00:00:00"/>
  </r>
  <r>
    <s v="Rakhine"/>
    <s v="Pauktaw"/>
    <s v="Ah Nauk Ywe"/>
    <s v="MMR012CMP016"/>
    <x v="2"/>
    <m/>
    <s v="LWF"/>
    <d v="2015-04-06T00:00:00"/>
  </r>
  <r>
    <s v="Rakhine"/>
    <s v="Pauktaw"/>
    <s v="Ah Nauk Ywe"/>
    <s v="MMR012CMP016"/>
    <x v="3"/>
    <n v="15"/>
    <s v="LWF"/>
    <d v="2015-04-06T00:00:00"/>
  </r>
  <r>
    <s v="Rakhine"/>
    <s v="Pauktaw"/>
    <s v="Ah Nauk Ywe"/>
    <s v="MMR012CMP016"/>
    <x v="4"/>
    <n v="286"/>
    <s v="LWF"/>
    <d v="2015-04-06T00:00:00"/>
  </r>
  <r>
    <s v="Rakhine"/>
    <s v="Pauktaw"/>
    <s v="Ah Nauk Ywe"/>
    <s v="MMR012CMP016"/>
    <x v="5"/>
    <n v="2"/>
    <s v="LWF"/>
    <d v="2015-04-06T00:00:00"/>
  </r>
  <r>
    <s v="Rakhine"/>
    <s v="Pauktaw"/>
    <s v="Ah Nauk Ywe"/>
    <s v="MMR012CMP016"/>
    <x v="6"/>
    <n v="33"/>
    <s v="LWF"/>
    <d v="2015-04-06T00:00:00"/>
  </r>
  <r>
    <s v="Rakhine"/>
    <s v="Pauktaw"/>
    <s v="Ah Nauk Ywe"/>
    <s v="MMR012CMP016"/>
    <x v="7"/>
    <m/>
    <s v="LWF"/>
    <d v="2015-04-06T00:00:00"/>
  </r>
  <r>
    <s v="Rakhine"/>
    <s v="Pauktaw"/>
    <s v="Ba Wan Chaung Wa Su"/>
    <s v="MMR012CMP015"/>
    <x v="0"/>
    <n v="0"/>
    <s v="LWF"/>
    <d v="2015-03-01T00:00:00"/>
  </r>
  <r>
    <s v="Rakhine"/>
    <s v="Pauktaw"/>
    <s v="Ba Wan Chaung Wa Su"/>
    <s v="MMR012CMP015"/>
    <x v="1"/>
    <n v="0"/>
    <s v="LWF"/>
    <d v="2015-03-01T00:00:00"/>
  </r>
  <r>
    <s v="Rakhine"/>
    <s v="Pauktaw"/>
    <s v="Ba Wan Chaung Wa Su"/>
    <s v="MMR012CMP015"/>
    <x v="2"/>
    <n v="0"/>
    <s v="LWF"/>
    <d v="2015-03-01T00:00:00"/>
  </r>
  <r>
    <s v="Rakhine"/>
    <s v="Pauktaw"/>
    <s v="Ba Wan Chaung Wa Su"/>
    <s v="MMR012CMP015"/>
    <x v="3"/>
    <n v="1"/>
    <s v="LWF"/>
    <d v="2015-03-01T00:00:00"/>
  </r>
  <r>
    <s v="Rakhine"/>
    <s v="Pauktaw"/>
    <s v="Ba Wan Chaung Wa Su"/>
    <s v="MMR012CMP015"/>
    <x v="4"/>
    <n v="11"/>
    <s v="LWF"/>
    <d v="2015-03-01T00:00:00"/>
  </r>
  <r>
    <s v="Rakhine"/>
    <s v="Pauktaw"/>
    <s v="Ba Wan Chaung Wa Su"/>
    <s v="MMR012CMP015"/>
    <x v="5"/>
    <n v="0"/>
    <s v="LWF"/>
    <d v="2015-03-01T00:00:00"/>
  </r>
  <r>
    <s v="Rakhine"/>
    <s v="Pauktaw"/>
    <s v="Ba Wan Chaung Wa Su"/>
    <s v="MMR012CMP015"/>
    <x v="6"/>
    <n v="4"/>
    <s v="LWF"/>
    <d v="2015-03-01T00:00:00"/>
  </r>
  <r>
    <s v="Rakhine"/>
    <s v="Pauktaw"/>
    <s v="Ba Wan Chaung Wa Su"/>
    <s v="MMR012CMP015"/>
    <x v="7"/>
    <n v="2"/>
    <s v="LWF"/>
    <d v="2015-03-01T00:00:00"/>
  </r>
  <r>
    <s v="Rakhine"/>
    <s v="Sittwe"/>
    <s v="Basare"/>
    <s v="MMR012CMP039"/>
    <x v="0"/>
    <n v="1"/>
    <s v="LWF"/>
    <d v="2015-03-23T00:00:00"/>
  </r>
  <r>
    <s v="Rakhine"/>
    <s v="Sittwe"/>
    <s v="Basare"/>
    <s v="MMR012CMP039"/>
    <x v="1"/>
    <n v="10"/>
    <s v="LWF"/>
    <d v="2015-03-23T00:00:00"/>
  </r>
  <r>
    <s v="Rakhine"/>
    <s v="Sittwe"/>
    <s v="Basare"/>
    <s v="MMR012CMP039"/>
    <x v="2"/>
    <n v="5"/>
    <s v="LWF"/>
    <d v="2015-03-23T00:00:00"/>
  </r>
  <r>
    <s v="Rakhine"/>
    <s v="Sittwe"/>
    <s v="Basare"/>
    <s v="MMR012CMP039"/>
    <x v="3"/>
    <n v="19"/>
    <s v="LWF"/>
    <d v="2015-03-23T00:00:00"/>
  </r>
  <r>
    <s v="Rakhine"/>
    <s v="Sittwe"/>
    <s v="Basare"/>
    <s v="MMR012CMP039"/>
    <x v="4"/>
    <n v="206"/>
    <s v="LWF"/>
    <d v="2015-03-23T00:00:00"/>
  </r>
  <r>
    <s v="Rakhine"/>
    <s v="Sittwe"/>
    <s v="Basare"/>
    <s v="MMR012CMP039"/>
    <x v="5"/>
    <n v="11"/>
    <s v="LWF"/>
    <d v="2015-03-23T00:00:00"/>
  </r>
  <r>
    <s v="Rakhine"/>
    <s v="Sittwe"/>
    <s v="Basare"/>
    <s v="MMR012CMP039"/>
    <x v="6"/>
    <n v="32"/>
    <s v="LWF"/>
    <d v="2015-03-23T00:00:00"/>
  </r>
  <r>
    <s v="Rakhine"/>
    <s v="Sittwe"/>
    <s v="Basare"/>
    <s v="MMR012CMP039"/>
    <x v="7"/>
    <n v="6"/>
    <s v="LWF"/>
    <d v="2015-03-23T00:00:00"/>
  </r>
  <r>
    <s v="Rakhine"/>
    <s v="Sittwe"/>
    <s v="Baw Du Pha 1"/>
    <s v="MMR012CMP113"/>
    <x v="0"/>
    <n v="20"/>
    <s v="DRC"/>
    <d v="2015-03-24T00:00:00"/>
  </r>
  <r>
    <s v="Rakhine"/>
    <s v="Sittwe"/>
    <s v="Baw Du Pha 1"/>
    <s v="MMR012CMP113"/>
    <x v="1"/>
    <n v="14"/>
    <s v="DRC"/>
    <d v="2015-03-24T00:00:00"/>
  </r>
  <r>
    <s v="Rakhine"/>
    <s v="Sittwe"/>
    <s v="Baw Du Pha 1"/>
    <s v="MMR012CMP113"/>
    <x v="2"/>
    <n v="12"/>
    <s v="DRC"/>
    <d v="2015-03-24T00:00:00"/>
  </r>
  <r>
    <s v="Rakhine"/>
    <s v="Sittwe"/>
    <s v="Baw Du Pha 1"/>
    <s v="MMR012CMP113"/>
    <x v="3"/>
    <n v="124"/>
    <s v="DRC"/>
    <d v="2015-03-24T00:00:00"/>
  </r>
  <r>
    <s v="Rakhine"/>
    <s v="Sittwe"/>
    <s v="Baw Du Pha 1"/>
    <s v="MMR012CMP113"/>
    <x v="4"/>
    <n v="42"/>
    <s v="DRC"/>
    <d v="2015-03-24T00:00:00"/>
  </r>
  <r>
    <s v="Rakhine"/>
    <s v="Sittwe"/>
    <s v="Baw Du Pha 1"/>
    <s v="MMR012CMP113"/>
    <x v="5"/>
    <n v="15"/>
    <s v="DRC"/>
    <d v="2015-03-24T00:00:00"/>
  </r>
  <r>
    <s v="Rakhine"/>
    <s v="Sittwe"/>
    <s v="Baw Du Pha 1"/>
    <s v="MMR012CMP113"/>
    <x v="6"/>
    <n v="28"/>
    <s v="DRC"/>
    <d v="2015-03-24T00:00:00"/>
  </r>
  <r>
    <s v="Rakhine"/>
    <s v="Sittwe"/>
    <s v="Baw Du Pha 1"/>
    <s v="MMR012CMP113"/>
    <x v="7"/>
    <n v="40"/>
    <s v="DRC"/>
    <d v="2015-03-24T00:00:00"/>
  </r>
  <r>
    <s v="Rakhine"/>
    <s v="Sittwe"/>
    <s v="Baw Du Pha 2"/>
    <s v="MMR012CMP114"/>
    <x v="0"/>
    <n v="45"/>
    <s v="DRC"/>
    <d v="2015-03-19T00:00:00"/>
  </r>
  <r>
    <s v="Rakhine"/>
    <s v="Sittwe"/>
    <s v="Baw Du Pha 2"/>
    <s v="MMR012CMP114"/>
    <x v="1"/>
    <n v="14"/>
    <s v="DRC"/>
    <d v="2015-03-19T00:00:00"/>
  </r>
  <r>
    <s v="Rakhine"/>
    <s v="Sittwe"/>
    <s v="Baw Du Pha 2"/>
    <s v="MMR012CMP114"/>
    <x v="2"/>
    <n v="45"/>
    <s v="DRC"/>
    <d v="2015-03-19T00:00:00"/>
  </r>
  <r>
    <s v="Rakhine"/>
    <s v="Sittwe"/>
    <s v="Baw Du Pha 2"/>
    <s v="MMR012CMP114"/>
    <x v="3"/>
    <n v="185"/>
    <s v="DRC"/>
    <d v="2015-03-19T00:00:00"/>
  </r>
  <r>
    <s v="Rakhine"/>
    <s v="Sittwe"/>
    <s v="Baw Du Pha 2"/>
    <s v="MMR012CMP114"/>
    <x v="4"/>
    <n v="21"/>
    <s v="DRC"/>
    <d v="2015-03-19T00:00:00"/>
  </r>
  <r>
    <s v="Rakhine"/>
    <s v="Sittwe"/>
    <s v="Baw Du Pha 2"/>
    <s v="MMR012CMP114"/>
    <x v="5"/>
    <n v="26"/>
    <s v="DRC"/>
    <d v="2015-03-19T00:00:00"/>
  </r>
  <r>
    <s v="Rakhine"/>
    <s v="Sittwe"/>
    <s v="Baw Du Pha 2"/>
    <s v="MMR012CMP114"/>
    <x v="6"/>
    <n v="45"/>
    <s v="DRC"/>
    <d v="2015-03-19T00:00:00"/>
  </r>
  <r>
    <s v="Rakhine"/>
    <s v="Sittwe"/>
    <s v="Baw Du Pha 2"/>
    <s v="MMR012CMP114"/>
    <x v="7"/>
    <n v="55"/>
    <s v="DRC"/>
    <d v="2015-03-19T00:00:00"/>
  </r>
  <r>
    <s v="Rakhine"/>
    <s v="Sittwe"/>
    <s v="Dar Pai"/>
    <s v="MMR012CMP041"/>
    <x v="0"/>
    <n v="115"/>
    <s v="DRC"/>
    <d v="2015-03-19T00:00:00"/>
  </r>
  <r>
    <s v="Rakhine"/>
    <s v="Sittwe"/>
    <s v="Dar Pai"/>
    <s v="MMR012CMP041"/>
    <x v="1"/>
    <n v="40"/>
    <s v="DRC"/>
    <d v="2015-03-19T00:00:00"/>
  </r>
  <r>
    <s v="Rakhine"/>
    <s v="Sittwe"/>
    <s v="Dar Pai"/>
    <s v="MMR012CMP041"/>
    <x v="2"/>
    <n v="32"/>
    <s v="DRC"/>
    <d v="2015-03-19T00:00:00"/>
  </r>
  <r>
    <s v="Rakhine"/>
    <s v="Sittwe"/>
    <s v="Dar Pai"/>
    <s v="MMR012CMP041"/>
    <x v="3"/>
    <n v="229"/>
    <s v="DRC"/>
    <d v="2015-03-19T00:00:00"/>
  </r>
  <r>
    <s v="Rakhine"/>
    <s v="Sittwe"/>
    <s v="Dar Pai"/>
    <s v="MMR012CMP041"/>
    <x v="4"/>
    <n v="52"/>
    <s v="DRC"/>
    <d v="2015-03-19T00:00:00"/>
  </r>
  <r>
    <s v="Rakhine"/>
    <s v="Sittwe"/>
    <s v="Dar Pai"/>
    <s v="MMR012CMP041"/>
    <x v="5"/>
    <n v="32"/>
    <s v="DRC"/>
    <d v="2015-03-19T00:00:00"/>
  </r>
  <r>
    <s v="Rakhine"/>
    <s v="Sittwe"/>
    <s v="Dar Pai"/>
    <s v="MMR012CMP041"/>
    <x v="6"/>
    <n v="94"/>
    <s v="DRC"/>
    <d v="2015-03-19T00:00:00"/>
  </r>
  <r>
    <s v="Rakhine"/>
    <s v="Sittwe"/>
    <s v="Dar Pai"/>
    <s v="MMR012CMP041"/>
    <x v="7"/>
    <n v="69"/>
    <s v="DRC"/>
    <d v="2015-03-19T00:00:00"/>
  </r>
  <r>
    <s v="Rakhine"/>
    <s v="Myebon"/>
    <s v="Kan Thar Htwat Wa"/>
    <s v="MMR012CMP013"/>
    <x v="0"/>
    <n v="0"/>
    <s v="RI"/>
    <d v="2015-05-06T00:00:00"/>
  </r>
  <r>
    <s v="Rakhine"/>
    <s v="Myebon"/>
    <s v="Kan Thar Htwat Wa"/>
    <s v="MMR012CMP013"/>
    <x v="1"/>
    <n v="0"/>
    <s v="RI"/>
    <d v="2015-05-06T00:00:00"/>
  </r>
  <r>
    <s v="Rakhine"/>
    <s v="Myebon"/>
    <s v="Kan Thar Htwat Wa"/>
    <s v="MMR012CMP013"/>
    <x v="2"/>
    <n v="0"/>
    <s v="RI"/>
    <d v="2015-05-06T00:00:00"/>
  </r>
  <r>
    <s v="Rakhine"/>
    <s v="Myebon"/>
    <s v="Kan Thar Htwat Wa"/>
    <s v="MMR012CMP013"/>
    <x v="3"/>
    <n v="3"/>
    <s v="RI"/>
    <d v="2015-05-06T00:00:00"/>
  </r>
  <r>
    <s v="Rakhine"/>
    <s v="Myebon"/>
    <s v="Kan Thar Htwat Wa"/>
    <s v="MMR012CMP013"/>
    <x v="4"/>
    <n v="3"/>
    <s v="RI"/>
    <d v="2015-05-06T00:00:00"/>
  </r>
  <r>
    <s v="Rakhine"/>
    <s v="Myebon"/>
    <s v="Kan Thar Htwat Wa"/>
    <s v="MMR012CMP013"/>
    <x v="5"/>
    <n v="12"/>
    <s v="RI"/>
    <d v="2015-05-06T00:00:00"/>
  </r>
  <r>
    <s v="Rakhine"/>
    <s v="Myebon"/>
    <s v="Kan Thar Htwat Wa"/>
    <s v="MMR012CMP013"/>
    <x v="6"/>
    <n v="2"/>
    <s v="RI"/>
    <d v="2015-05-06T00:00:00"/>
  </r>
  <r>
    <s v="Rakhine"/>
    <s v="Myebon"/>
    <s v="Kan Thar Htwat Wa"/>
    <s v="MMR012CMP013"/>
    <x v="7"/>
    <n v="4"/>
    <s v="RI"/>
    <d v="2015-05-06T00:00:00"/>
  </r>
  <r>
    <s v="Rakhine"/>
    <s v="Sittwe"/>
    <s v="Khaung Doke Khar "/>
    <s v="MMR012CMP042"/>
    <x v="0"/>
    <n v="2"/>
    <s v="LWF"/>
    <d v="2015-04-06T00:00:00"/>
  </r>
  <r>
    <s v="Rakhine"/>
    <s v="Sittwe"/>
    <s v="Khaung Doke Khar "/>
    <s v="MMR012CMP042"/>
    <x v="1"/>
    <n v="1"/>
    <s v="LWF"/>
    <d v="2015-04-06T00:00:00"/>
  </r>
  <r>
    <s v="Rakhine"/>
    <s v="Sittwe"/>
    <s v="Khaung Doke Khar "/>
    <s v="MMR012CMP042"/>
    <x v="2"/>
    <n v="2"/>
    <s v="LWF"/>
    <d v="2015-04-06T00:00:00"/>
  </r>
  <r>
    <s v="Rakhine"/>
    <s v="Sittwe"/>
    <s v="Khaung Doke Khar "/>
    <s v="MMR012CMP042"/>
    <x v="3"/>
    <n v="41"/>
    <s v="LWF"/>
    <d v="2015-04-06T00:00:00"/>
  </r>
  <r>
    <s v="Rakhine"/>
    <s v="Sittwe"/>
    <s v="Khaung Doke Khar "/>
    <s v="MMR012CMP042"/>
    <x v="4"/>
    <n v="210"/>
    <s v="LWF"/>
    <d v="2015-04-06T00:00:00"/>
  </r>
  <r>
    <s v="Rakhine"/>
    <s v="Sittwe"/>
    <s v="Khaung Doke Khar "/>
    <s v="MMR012CMP042"/>
    <x v="5"/>
    <n v="27"/>
    <s v="LWF"/>
    <d v="2015-04-06T00:00:00"/>
  </r>
  <r>
    <s v="Rakhine"/>
    <s v="Sittwe"/>
    <s v="Khaung Doke Khar "/>
    <s v="MMR012CMP042"/>
    <x v="6"/>
    <n v="54"/>
    <s v="LWF"/>
    <d v="2015-04-06T00:00:00"/>
  </r>
  <r>
    <s v="Rakhine"/>
    <s v="Sittwe"/>
    <s v="Khaung Doke Khar "/>
    <s v="MMR012CMP042"/>
    <x v="7"/>
    <n v="12"/>
    <s v="LWF"/>
    <d v="2015-04-06T00:00:00"/>
  </r>
  <r>
    <s v="Rakhine"/>
    <s v="Pauktaw"/>
    <s v="Kyein Ni Pyin"/>
    <s v="MMR012CMP018"/>
    <x v="0"/>
    <n v="23"/>
    <s v="SCI"/>
    <d v="2015-06-18T00:00:00"/>
  </r>
  <r>
    <s v="Rakhine"/>
    <s v="Pauktaw"/>
    <s v="Kyein Ni Pyin"/>
    <s v="MMR012CMP018"/>
    <x v="1"/>
    <n v="4"/>
    <s v="SCI"/>
    <d v="2015-06-18T00:00:00"/>
  </r>
  <r>
    <s v="Rakhine"/>
    <s v="Pauktaw"/>
    <s v="Kyein Ni Pyin"/>
    <s v="MMR012CMP018"/>
    <x v="2"/>
    <n v="2"/>
    <s v="SCI"/>
    <d v="2015-06-18T00:00:00"/>
  </r>
  <r>
    <s v="Rakhine"/>
    <s v="Pauktaw"/>
    <s v="Kyein Ni Pyin"/>
    <s v="MMR012CMP018"/>
    <x v="3"/>
    <n v="38"/>
    <s v="SCI"/>
    <d v="2015-06-18T00:00:00"/>
  </r>
  <r>
    <s v="Rakhine"/>
    <s v="Pauktaw"/>
    <s v="Kyein Ni Pyin"/>
    <s v="MMR012CMP018"/>
    <x v="4"/>
    <n v="36"/>
    <s v="SCI"/>
    <d v="2015-06-18T00:00:00"/>
  </r>
  <r>
    <s v="Rakhine"/>
    <s v="Pauktaw"/>
    <s v="Kyein Ni Pyin"/>
    <s v="MMR012CMP018"/>
    <x v="5"/>
    <n v="21"/>
    <s v="SCI"/>
    <d v="2015-06-18T00:00:00"/>
  </r>
  <r>
    <s v="Rakhine"/>
    <s v="Pauktaw"/>
    <s v="Kyein Ni Pyin"/>
    <s v="MMR012CMP018"/>
    <x v="6"/>
    <n v="33"/>
    <s v="SCI"/>
    <d v="2015-06-18T00:00:00"/>
  </r>
  <r>
    <s v="Rakhine"/>
    <s v="Pauktaw"/>
    <s v="Kyein Ni Pyin"/>
    <s v="MMR012CMP018"/>
    <x v="7"/>
    <n v="83"/>
    <s v="SCI"/>
    <d v="2015-06-18T00:00:00"/>
  </r>
  <r>
    <s v="Rakhine"/>
    <s v="Sittwe"/>
    <s v="Maw Ti Ngar"/>
    <s v="MMR012CMP092"/>
    <x v="0"/>
    <n v="6"/>
    <s v="SCI"/>
    <d v="2015-06-08T00:00:00"/>
  </r>
  <r>
    <s v="Rakhine"/>
    <s v="Sittwe"/>
    <s v="Maw Ti Ngar"/>
    <s v="MMR012CMP092"/>
    <x v="1"/>
    <n v="3"/>
    <s v="SCI"/>
    <d v="2015-06-08T00:00:00"/>
  </r>
  <r>
    <s v="Rakhine"/>
    <s v="Sittwe"/>
    <s v="Maw Ti Ngar"/>
    <s v="MMR012CMP092"/>
    <x v="2"/>
    <n v="3"/>
    <s v="SCI"/>
    <d v="2015-06-08T00:00:00"/>
  </r>
  <r>
    <s v="Rakhine"/>
    <s v="Sittwe"/>
    <s v="Maw Ti Ngar"/>
    <s v="MMR012CMP092"/>
    <x v="3"/>
    <n v="37"/>
    <s v="SCI"/>
    <d v="2015-06-08T00:00:00"/>
  </r>
  <r>
    <s v="Rakhine"/>
    <s v="Sittwe"/>
    <s v="Maw Ti Ngar"/>
    <s v="MMR012CMP092"/>
    <x v="4"/>
    <n v="28"/>
    <s v="SCI"/>
    <d v="2015-06-08T00:00:00"/>
  </r>
  <r>
    <s v="Rakhine"/>
    <s v="Sittwe"/>
    <s v="Maw Ti Ngar"/>
    <s v="MMR012CMP092"/>
    <x v="5"/>
    <n v="9"/>
    <s v="SCI"/>
    <d v="2015-06-08T00:00:00"/>
  </r>
  <r>
    <s v="Rakhine"/>
    <s v="Sittwe"/>
    <s v="Maw Ti Ngar"/>
    <s v="MMR012CMP092"/>
    <x v="6"/>
    <n v="5"/>
    <s v="SCI"/>
    <d v="2015-06-08T00:00:00"/>
  </r>
  <r>
    <s v="Rakhine"/>
    <s v="Sittwe"/>
    <s v="Maw Ti Ngar"/>
    <s v="MMR012CMP092"/>
    <x v="7"/>
    <n v="73"/>
    <s v="SCI"/>
    <d v="2015-06-08T00:00:00"/>
  </r>
  <r>
    <s v="Rakhine"/>
    <s v="Pauktaw"/>
    <s v="Nget Chaung"/>
    <s v="MMR012CMP017"/>
    <x v="0"/>
    <n v="4"/>
    <s v="LWF"/>
    <d v="2015-04-03T00:00:00"/>
  </r>
  <r>
    <s v="Rakhine"/>
    <s v="Pauktaw"/>
    <s v="Nget Chaung"/>
    <s v="MMR012CMP017"/>
    <x v="1"/>
    <n v="4"/>
    <s v="LWF"/>
    <d v="2015-04-03T00:00:00"/>
  </r>
  <r>
    <s v="Rakhine"/>
    <s v="Pauktaw"/>
    <s v="Nget Chaung"/>
    <s v="MMR012CMP017"/>
    <x v="2"/>
    <n v="8"/>
    <s v="LWF"/>
    <d v="2015-04-03T00:00:00"/>
  </r>
  <r>
    <s v="Rakhine"/>
    <s v="Pauktaw"/>
    <s v="Nget Chaung"/>
    <s v="MMR012CMP017"/>
    <x v="3"/>
    <n v="9"/>
    <s v="LWF"/>
    <d v="2015-04-03T00:00:00"/>
  </r>
  <r>
    <s v="Rakhine"/>
    <s v="Pauktaw"/>
    <s v="Nget Chaung"/>
    <s v="MMR012CMP017"/>
    <x v="4"/>
    <n v="640"/>
    <s v="LWF"/>
    <d v="2015-04-03T00:00:00"/>
  </r>
  <r>
    <s v="Rakhine"/>
    <s v="Pauktaw"/>
    <s v="Nget Chaung"/>
    <s v="MMR012CMP017"/>
    <x v="5"/>
    <n v="33"/>
    <s v="LWF"/>
    <d v="2015-04-03T00:00:00"/>
  </r>
  <r>
    <s v="Rakhine"/>
    <s v="Pauktaw"/>
    <s v="Nget Chaung"/>
    <s v="MMR012CMP017"/>
    <x v="6"/>
    <n v="31"/>
    <s v="LWF"/>
    <d v="2015-04-03T00:00:00"/>
  </r>
  <r>
    <s v="Rakhine"/>
    <s v="Pauktaw"/>
    <s v="Nget Chaung"/>
    <s v="MMR012CMP017"/>
    <x v="7"/>
    <n v="12"/>
    <s v="LWF"/>
    <d v="2015-04-03T00:00:00"/>
  </r>
  <r>
    <s v="Rakhine"/>
    <s v="Sittwe"/>
    <s v="Ohn Taw Chay"/>
    <s v="MMR012CMP098"/>
    <x v="0"/>
    <n v="100"/>
    <s v="DRC"/>
    <d v="2015-03-17T00:00:00"/>
  </r>
  <r>
    <s v="Rakhine"/>
    <s v="Sittwe"/>
    <s v="Ohn Taw Chay"/>
    <s v="MMR012CMP098"/>
    <x v="1"/>
    <n v="20"/>
    <s v="DRC"/>
    <d v="2015-03-17T00:00:00"/>
  </r>
  <r>
    <s v="Rakhine"/>
    <s v="Sittwe"/>
    <s v="Ohn Taw Chay"/>
    <s v="MMR012CMP098"/>
    <x v="2"/>
    <n v="1"/>
    <s v="DRC"/>
    <d v="2015-03-17T00:00:00"/>
  </r>
  <r>
    <s v="Rakhine"/>
    <s v="Sittwe"/>
    <s v="Ohn Taw Chay"/>
    <s v="MMR012CMP098"/>
    <x v="3"/>
    <n v="82"/>
    <s v="DRC"/>
    <d v="2015-03-17T00:00:00"/>
  </r>
  <r>
    <s v="Rakhine"/>
    <s v="Sittwe"/>
    <s v="Ohn Taw Chay"/>
    <s v="MMR012CMP098"/>
    <x v="4"/>
    <n v="26"/>
    <s v="DRC"/>
    <d v="2015-03-17T00:00:00"/>
  </r>
  <r>
    <s v="Rakhine"/>
    <s v="Sittwe"/>
    <s v="Ohn Taw Chay"/>
    <s v="MMR012CMP098"/>
    <x v="5"/>
    <n v="12"/>
    <s v="DRC"/>
    <d v="2015-03-17T00:00:00"/>
  </r>
  <r>
    <s v="Rakhine"/>
    <s v="Sittwe"/>
    <s v="Ohn Taw Chay"/>
    <s v="MMR012CMP098"/>
    <x v="6"/>
    <n v="32"/>
    <s v="DRC"/>
    <d v="2015-03-17T00:00:00"/>
  </r>
  <r>
    <s v="Rakhine"/>
    <s v="Sittwe"/>
    <s v="Ohn Taw Chay"/>
    <s v="MMR012CMP098"/>
    <x v="7"/>
    <n v="49"/>
    <s v="DRC"/>
    <d v="2015-03-17T00:00:00"/>
  </r>
  <r>
    <s v="Rakhine"/>
    <s v="Sittwe"/>
    <s v="Ohn Taw Gyi (North)"/>
    <s v="MMR012CMP115"/>
    <x v="0"/>
    <n v="116"/>
    <s v="DRC"/>
    <d v="2015-04-07T00:00:00"/>
  </r>
  <r>
    <s v="Rakhine"/>
    <s v="Sittwe"/>
    <s v="Ohn Taw Gyi (North)"/>
    <s v="MMR012CMP115"/>
    <x v="1"/>
    <n v="72"/>
    <s v="DRC"/>
    <d v="2015-04-07T00:00:00"/>
  </r>
  <r>
    <s v="Rakhine"/>
    <s v="Sittwe"/>
    <s v="Ohn Taw Gyi (North)"/>
    <s v="MMR012CMP115"/>
    <x v="2"/>
    <n v="133"/>
    <s v="DRC"/>
    <d v="2015-04-07T00:00:00"/>
  </r>
  <r>
    <s v="Rakhine"/>
    <s v="Sittwe"/>
    <s v="Ohn Taw Gyi (North)"/>
    <s v="MMR012CMP115"/>
    <x v="3"/>
    <n v="585"/>
    <s v="DRC"/>
    <d v="2015-04-07T00:00:00"/>
  </r>
  <r>
    <s v="Rakhine"/>
    <s v="Sittwe"/>
    <s v="Ohn Taw Gyi (North)"/>
    <s v="MMR012CMP115"/>
    <x v="4"/>
    <n v="103"/>
    <s v="DRC"/>
    <d v="2015-04-07T00:00:00"/>
  </r>
  <r>
    <s v="Rakhine"/>
    <s v="Sittwe"/>
    <s v="Ohn Taw Gyi (North)"/>
    <s v="MMR012CMP115"/>
    <x v="5"/>
    <n v="94"/>
    <s v="DRC"/>
    <d v="2015-04-07T00:00:00"/>
  </r>
  <r>
    <s v="Rakhine"/>
    <s v="Sittwe"/>
    <s v="Ohn Taw Gyi (North)"/>
    <s v="MMR012CMP115"/>
    <x v="6"/>
    <n v="146"/>
    <s v="DRC"/>
    <d v="2015-04-07T00:00:00"/>
  </r>
  <r>
    <s v="Rakhine"/>
    <s v="Sittwe"/>
    <s v="Ohn Taw Gyi (North)"/>
    <s v="MMR012CMP115"/>
    <x v="7"/>
    <n v="161"/>
    <s v="DRC"/>
    <d v="2015-04-07T00:00:00"/>
  </r>
  <r>
    <s v="Rakhine"/>
    <s v="Sittwe"/>
    <s v="Ohn Taw Gyi (South)"/>
    <s v="MMR012CMP116"/>
    <x v="0"/>
    <n v="10"/>
    <s v="LWF"/>
    <d v="2015-04-08T00:00:00"/>
  </r>
  <r>
    <s v="Rakhine"/>
    <s v="Sittwe"/>
    <s v="Ohn Taw Gyi (South)"/>
    <s v="MMR012CMP116"/>
    <x v="1"/>
    <n v="6"/>
    <s v="LWF"/>
    <d v="2015-04-08T00:00:00"/>
  </r>
  <r>
    <s v="Rakhine"/>
    <s v="Sittwe"/>
    <s v="Ohn Taw Gyi (South)"/>
    <s v="MMR012CMP116"/>
    <x v="2"/>
    <n v="44"/>
    <s v="LWF"/>
    <d v="2015-04-08T00:00:00"/>
  </r>
  <r>
    <s v="Rakhine"/>
    <s v="Sittwe"/>
    <s v="Ohn Taw Gyi (South)"/>
    <s v="MMR012CMP116"/>
    <x v="3"/>
    <n v="200"/>
    <s v="LWF"/>
    <d v="2015-04-08T00:00:00"/>
  </r>
  <r>
    <s v="Rakhine"/>
    <s v="Sittwe"/>
    <s v="Ohn Taw Gyi (South)"/>
    <s v="MMR012CMP116"/>
    <x v="4"/>
    <n v="581"/>
    <s v="LWF"/>
    <d v="2015-04-08T00:00:00"/>
  </r>
  <r>
    <s v="Rakhine"/>
    <s v="Sittwe"/>
    <s v="Ohn Taw Gyi (South)"/>
    <s v="MMR012CMP116"/>
    <x v="5"/>
    <n v="1"/>
    <s v="LWF"/>
    <d v="2015-04-08T00:00:00"/>
  </r>
  <r>
    <s v="Rakhine"/>
    <s v="Sittwe"/>
    <s v="Ohn Taw Gyi (South)"/>
    <s v="MMR012CMP116"/>
    <x v="6"/>
    <n v="33"/>
    <s v="LWF"/>
    <d v="2015-04-08T00:00:00"/>
  </r>
  <r>
    <s v="Rakhine"/>
    <s v="Sittwe"/>
    <s v="Ohn Taw Gyi (South)"/>
    <s v="MMR012CMP116"/>
    <x v="7"/>
    <n v="1"/>
    <s v="LWF"/>
    <d v="2015-04-08T00:00:00"/>
  </r>
  <r>
    <s v="Rakhine"/>
    <s v="Sittwe"/>
    <s v="Sat Roe Kya 1"/>
    <s v="MMR012CMP111"/>
    <x v="0"/>
    <n v="3"/>
    <s v="SCI"/>
    <d v="2015-03-25T00:00:00"/>
  </r>
  <r>
    <s v="Rakhine"/>
    <s v="Sittwe"/>
    <s v="Sat Roe Kya 1"/>
    <s v="MMR012CMP111"/>
    <x v="1"/>
    <m/>
    <s v="SCI"/>
    <d v="2015-03-25T00:00:00"/>
  </r>
  <r>
    <s v="Rakhine"/>
    <s v="Sittwe"/>
    <s v="Sat Roe Kya 1"/>
    <s v="MMR012CMP111"/>
    <x v="2"/>
    <m/>
    <s v="SCI"/>
    <d v="2015-03-25T00:00:00"/>
  </r>
  <r>
    <s v="Rakhine"/>
    <s v="Sittwe"/>
    <s v="Sat Roe Kya 1"/>
    <s v="MMR012CMP111"/>
    <x v="3"/>
    <n v="6"/>
    <s v="SCI"/>
    <d v="2015-03-25T00:00:00"/>
  </r>
  <r>
    <s v="Rakhine"/>
    <s v="Sittwe"/>
    <s v="Sat Roe Kya 1"/>
    <s v="MMR012CMP111"/>
    <x v="4"/>
    <n v="10"/>
    <s v="SCI"/>
    <d v="2015-03-25T00:00:00"/>
  </r>
  <r>
    <s v="Rakhine"/>
    <s v="Sittwe"/>
    <s v="Sat Roe Kya 1"/>
    <s v="MMR012CMP111"/>
    <x v="5"/>
    <n v="23"/>
    <s v="SCI"/>
    <d v="2015-03-25T00:00:00"/>
  </r>
  <r>
    <s v="Rakhine"/>
    <s v="Sittwe"/>
    <s v="Sat Roe Kya 1"/>
    <s v="MMR012CMP111"/>
    <x v="6"/>
    <n v="7"/>
    <s v="SCI"/>
    <d v="2015-03-25T00:00:00"/>
  </r>
  <r>
    <s v="Rakhine"/>
    <s v="Sittwe"/>
    <s v="Sat Roe Kya 1"/>
    <s v="MMR012CMP111"/>
    <x v="7"/>
    <n v="21"/>
    <s v="SCI"/>
    <d v="2015-03-25T00:00:00"/>
  </r>
  <r>
    <s v="Rakhine"/>
    <s v="Sittwe"/>
    <s v="Sat Roe Kya 2"/>
    <s v="MMR012CMP112"/>
    <x v="0"/>
    <n v="37"/>
    <s v="UNHCR"/>
    <d v="2015-03-18T00:00:00"/>
  </r>
  <r>
    <s v="Rakhine"/>
    <s v="Sittwe"/>
    <s v="Sat Roe Kya 2"/>
    <s v="MMR012CMP112"/>
    <x v="1"/>
    <n v="3"/>
    <s v="UNHCR"/>
    <d v="2015-03-18T00:00:00"/>
  </r>
  <r>
    <s v="Rakhine"/>
    <s v="Sittwe"/>
    <s v="Sat Roe Kya 2"/>
    <s v="MMR012CMP112"/>
    <x v="2"/>
    <n v="3"/>
    <s v="UNHCR"/>
    <d v="2015-03-18T00:00:00"/>
  </r>
  <r>
    <s v="Rakhine"/>
    <s v="Sittwe"/>
    <s v="Sat Roe Kya 2"/>
    <s v="MMR012CMP112"/>
    <x v="3"/>
    <n v="31"/>
    <s v="UNHCR"/>
    <d v="2015-03-18T00:00:00"/>
  </r>
  <r>
    <s v="Rakhine"/>
    <s v="Sittwe"/>
    <s v="Sat Roe Kya 2"/>
    <s v="MMR012CMP112"/>
    <x v="4"/>
    <n v="26"/>
    <s v="UNHCR"/>
    <d v="2015-03-18T00:00:00"/>
  </r>
  <r>
    <s v="Rakhine"/>
    <s v="Sittwe"/>
    <s v="Sat Roe Kya 2"/>
    <s v="MMR012CMP112"/>
    <x v="5"/>
    <n v="89"/>
    <s v="UNHCR"/>
    <d v="2015-03-18T00:00:00"/>
  </r>
  <r>
    <s v="Rakhine"/>
    <s v="Sittwe"/>
    <s v="Sat Roe Kya 2"/>
    <s v="MMR012CMP112"/>
    <x v="6"/>
    <n v="21"/>
    <s v="UNHCR"/>
    <d v="2015-03-18T00:00:00"/>
  </r>
  <r>
    <s v="Rakhine"/>
    <s v="Sittwe"/>
    <s v="Sat Roe Kya 2"/>
    <s v="MMR012CMP112"/>
    <x v="7"/>
    <n v="39"/>
    <s v="UNHCR"/>
    <d v="2015-03-18T00:00:00"/>
  </r>
  <r>
    <s v="Rakhine"/>
    <s v="Sittwe"/>
    <s v="Say Tha Mar Gyi"/>
    <s v="MMR012CMP045"/>
    <x v="0"/>
    <n v="54"/>
    <s v="DRC"/>
    <d v="2015-04-08T00:00:00"/>
  </r>
  <r>
    <s v="Rakhine"/>
    <s v="Sittwe"/>
    <s v="Say Tha Mar Gyi"/>
    <s v="MMR012CMP045"/>
    <x v="1"/>
    <n v="18"/>
    <s v="DRC"/>
    <d v="2015-04-08T00:00:00"/>
  </r>
  <r>
    <s v="Rakhine"/>
    <s v="Sittwe"/>
    <s v="Say Tha Mar Gyi"/>
    <s v="MMR012CMP045"/>
    <x v="2"/>
    <n v="78"/>
    <s v="DRC"/>
    <d v="2015-04-08T00:00:00"/>
  </r>
  <r>
    <s v="Rakhine"/>
    <s v="Sittwe"/>
    <s v="Say Tha Mar Gyi"/>
    <s v="MMR012CMP045"/>
    <x v="3"/>
    <n v="466"/>
    <s v="DRC"/>
    <d v="2015-04-08T00:00:00"/>
  </r>
  <r>
    <s v="Rakhine"/>
    <s v="Sittwe"/>
    <s v="Say Tha Mar Gyi"/>
    <s v="MMR012CMP045"/>
    <x v="4"/>
    <n v="69"/>
    <s v="DRC"/>
    <d v="2015-04-08T00:00:00"/>
  </r>
  <r>
    <s v="Rakhine"/>
    <s v="Sittwe"/>
    <s v="Say Tha Mar Gyi"/>
    <s v="MMR012CMP045"/>
    <x v="5"/>
    <n v="26"/>
    <s v="DRC"/>
    <d v="2015-04-08T00:00:00"/>
  </r>
  <r>
    <s v="Rakhine"/>
    <s v="Sittwe"/>
    <s v="Say Tha Mar Gyi"/>
    <s v="MMR012CMP045"/>
    <x v="6"/>
    <n v="104"/>
    <s v="DRC"/>
    <d v="2015-04-08T00:00:00"/>
  </r>
  <r>
    <s v="Rakhine"/>
    <s v="Sittwe"/>
    <s v="Say Tha Mar Gyi"/>
    <s v="MMR012CMP045"/>
    <x v="7"/>
    <n v="144"/>
    <s v="DRC"/>
    <d v="2015-04-08T00:00:00"/>
  </r>
  <r>
    <s v="Rakhine"/>
    <s v="Sittwe"/>
    <s v="Set Yone Su"/>
    <s v="MMR012CMP056"/>
    <x v="0"/>
    <n v="0"/>
    <s v="LWF"/>
    <d v="2015-03-20T00:00:00"/>
  </r>
  <r>
    <s v="Rakhine"/>
    <s v="Sittwe"/>
    <s v="Set Yone Su"/>
    <s v="MMR012CMP056"/>
    <x v="1"/>
    <n v="0"/>
    <s v="LWF"/>
    <d v="2015-03-20T00:00:00"/>
  </r>
  <r>
    <s v="Rakhine"/>
    <s v="Sittwe"/>
    <s v="Set Yone Su"/>
    <s v="MMR012CMP056"/>
    <x v="2"/>
    <n v="0"/>
    <s v="LWF"/>
    <d v="2015-03-20T00:00:00"/>
  </r>
  <r>
    <s v="Rakhine"/>
    <s v="Sittwe"/>
    <s v="Set Yone Su"/>
    <s v="MMR012CMP056"/>
    <x v="3"/>
    <n v="3"/>
    <s v="LWF"/>
    <d v="2015-03-20T00:00:00"/>
  </r>
  <r>
    <s v="Rakhine"/>
    <s v="Sittwe"/>
    <s v="Set Yone Su"/>
    <s v="MMR012CMP056"/>
    <x v="4"/>
    <n v="10"/>
    <s v="LWF"/>
    <d v="2015-03-20T00:00:00"/>
  </r>
  <r>
    <s v="Rakhine"/>
    <s v="Sittwe"/>
    <s v="Set Yone Su"/>
    <s v="MMR012CMP056"/>
    <x v="5"/>
    <n v="5"/>
    <s v="LWF"/>
    <d v="2015-03-20T00:00:00"/>
  </r>
  <r>
    <s v="Rakhine"/>
    <s v="Sittwe"/>
    <s v="Set Yone Su"/>
    <s v="MMR012CMP056"/>
    <x v="6"/>
    <n v="7"/>
    <s v="LWF"/>
    <d v="2015-03-20T00:00:00"/>
  </r>
  <r>
    <s v="Rakhine"/>
    <s v="Sittwe"/>
    <s v="Set Yone Su"/>
    <s v="MMR012CMP056"/>
    <x v="7"/>
    <n v="4"/>
    <s v="LWF"/>
    <d v="2015-03-20T00:00:00"/>
  </r>
  <r>
    <s v="Rakhine"/>
    <s v="Sittwe"/>
    <s v="Set Yone Su 3"/>
    <s v="MMR012CMP093"/>
    <x v="0"/>
    <n v="2"/>
    <s v="LWF"/>
    <d v="2015-03-01T00:00:00"/>
  </r>
  <r>
    <s v="Rakhine"/>
    <s v="Sittwe"/>
    <s v="Set Yone Su 3"/>
    <s v="MMR012CMP093"/>
    <x v="1"/>
    <n v="0"/>
    <s v="LWF"/>
    <d v="2015-03-01T00:00:00"/>
  </r>
  <r>
    <s v="Rakhine"/>
    <s v="Sittwe"/>
    <s v="Set Yone Su 3"/>
    <s v="MMR012CMP093"/>
    <x v="2"/>
    <n v="0"/>
    <s v="LWF"/>
    <d v="2015-03-01T00:00:00"/>
  </r>
  <r>
    <s v="Rakhine"/>
    <s v="Sittwe"/>
    <s v="Set Yone Su 3"/>
    <s v="MMR012CMP093"/>
    <x v="3"/>
    <n v="8"/>
    <s v="LWF"/>
    <d v="2015-03-01T00:00:00"/>
  </r>
  <r>
    <s v="Rakhine"/>
    <s v="Sittwe"/>
    <s v="Set Yone Su 3"/>
    <s v="MMR012CMP093"/>
    <x v="4"/>
    <n v="32"/>
    <s v="LWF"/>
    <d v="2015-03-01T00:00:00"/>
  </r>
  <r>
    <s v="Rakhine"/>
    <s v="Sittwe"/>
    <s v="Set Yone Su 3"/>
    <s v="MMR012CMP093"/>
    <x v="5"/>
    <n v="14"/>
    <s v="LWF"/>
    <d v="2015-03-01T00:00:00"/>
  </r>
  <r>
    <s v="Rakhine"/>
    <s v="Sittwe"/>
    <s v="Set Yone Su 3"/>
    <s v="MMR012CMP093"/>
    <x v="6"/>
    <n v="7"/>
    <s v="LWF"/>
    <d v="2015-03-01T00:00:00"/>
  </r>
  <r>
    <s v="Rakhine"/>
    <s v="Sittwe"/>
    <s v="Set Yone Su 3"/>
    <s v="MMR012CMP093"/>
    <x v="7"/>
    <n v="3"/>
    <s v="LWF"/>
    <d v="2015-03-01T00:00:00"/>
  </r>
  <r>
    <s v="Rakhine"/>
    <s v="Pauktaw"/>
    <s v="Sin Tet Maw"/>
    <s v="MMR012CMP019"/>
    <x v="0"/>
    <n v="1"/>
    <s v="SCI"/>
    <d v="2015-07-27T00:00:00"/>
  </r>
  <r>
    <s v="Rakhine"/>
    <s v="Pauktaw"/>
    <s v="Sin Tet Maw"/>
    <s v="MMR012CMP019"/>
    <x v="1"/>
    <n v="2"/>
    <s v="SCI"/>
    <d v="2015-07-27T00:00:00"/>
  </r>
  <r>
    <s v="Rakhine"/>
    <s v="Pauktaw"/>
    <s v="Sin Tet Maw"/>
    <s v="MMR012CMP019"/>
    <x v="2"/>
    <m/>
    <s v="SCI"/>
    <d v="2015-07-27T00:00:00"/>
  </r>
  <r>
    <s v="Rakhine"/>
    <s v="Pauktaw"/>
    <s v="Sin Tet Maw"/>
    <s v="MMR012CMP019"/>
    <x v="3"/>
    <n v="1"/>
    <s v="SCI"/>
    <d v="2015-07-27T00:00:00"/>
  </r>
  <r>
    <s v="Rakhine"/>
    <s v="Pauktaw"/>
    <s v="Sin Tet Maw"/>
    <s v="MMR012CMP019"/>
    <x v="4"/>
    <n v="8"/>
    <s v="SCI"/>
    <d v="2015-07-27T00:00:00"/>
  </r>
  <r>
    <s v="Rakhine"/>
    <s v="Pauktaw"/>
    <s v="Sin Tet Maw"/>
    <s v="MMR012CMP019"/>
    <x v="5"/>
    <n v="17"/>
    <s v="SCI"/>
    <d v="2015-07-27T00:00:00"/>
  </r>
  <r>
    <s v="Rakhine"/>
    <s v="Pauktaw"/>
    <s v="Sin Tet Maw"/>
    <s v="MMR012CMP019"/>
    <x v="6"/>
    <n v="10"/>
    <s v="SCI"/>
    <d v="2015-07-27T00:00:00"/>
  </r>
  <r>
    <s v="Rakhine"/>
    <s v="Pauktaw"/>
    <s v="Sin Tet Maw"/>
    <s v="MMR012CMP019"/>
    <x v="7"/>
    <n v="42"/>
    <s v="SCI"/>
    <d v="2015-07-27T00:00:00"/>
  </r>
  <r>
    <s v="Rakhine"/>
    <s v="Myebon"/>
    <s v="Taung Paw "/>
    <s v="MMR012CMP014"/>
    <x v="0"/>
    <n v="68"/>
    <s v="RI"/>
    <d v="2015-05-04T00:00:00"/>
  </r>
  <r>
    <s v="Rakhine"/>
    <s v="Myebon"/>
    <s v="Taung Paw "/>
    <s v="MMR012CMP014"/>
    <x v="1"/>
    <n v="12"/>
    <s v="RI"/>
    <d v="2015-05-04T00:00:00"/>
  </r>
  <r>
    <s v="Rakhine"/>
    <s v="Myebon"/>
    <s v="Taung Paw "/>
    <s v="MMR012CMP014"/>
    <x v="2"/>
    <n v="3"/>
    <s v="RI"/>
    <d v="2015-05-04T00:00:00"/>
  </r>
  <r>
    <s v="Rakhine"/>
    <s v="Myebon"/>
    <s v="Taung Paw "/>
    <s v="MMR012CMP014"/>
    <x v="3"/>
    <n v="70"/>
    <s v="RI"/>
    <d v="2015-05-04T00:00:00"/>
  </r>
  <r>
    <s v="Rakhine"/>
    <s v="Myebon"/>
    <s v="Taung Paw "/>
    <s v="MMR012CMP014"/>
    <x v="4"/>
    <n v="121"/>
    <s v="RI"/>
    <d v="2015-05-04T00:00:00"/>
  </r>
  <r>
    <s v="Rakhine"/>
    <s v="Myebon"/>
    <s v="Taung Paw "/>
    <s v="MMR012CMP014"/>
    <x v="5"/>
    <n v="53"/>
    <s v="RI"/>
    <d v="2015-05-04T00:00:00"/>
  </r>
  <r>
    <s v="Rakhine"/>
    <s v="Myebon"/>
    <s v="Taung Paw "/>
    <s v="MMR012CMP014"/>
    <x v="6"/>
    <n v="34"/>
    <s v="RI"/>
    <d v="2015-05-04T00:00:00"/>
  </r>
  <r>
    <s v="Rakhine"/>
    <s v="Myebon"/>
    <s v="Taung Paw "/>
    <s v="MMR012CMP014"/>
    <x v="7"/>
    <n v="51"/>
    <s v="RI"/>
    <d v="2015-05-04T00:00:00"/>
  </r>
  <r>
    <s v="Rakhine"/>
    <s v="Sittwe"/>
    <s v="Thae Chaung"/>
    <s v="MMR012CMP046"/>
    <x v="0"/>
    <n v="1"/>
    <s v="LWF"/>
    <d v="2015-04-19T00:00:00"/>
  </r>
  <r>
    <s v="Rakhine"/>
    <s v="Sittwe"/>
    <s v="Thae Chaung"/>
    <s v="MMR012CMP046"/>
    <x v="1"/>
    <n v="4"/>
    <s v="LWF"/>
    <d v="2015-04-19T00:00:00"/>
  </r>
  <r>
    <s v="Rakhine"/>
    <s v="Sittwe"/>
    <s v="Thae Chaung"/>
    <s v="MMR012CMP046"/>
    <x v="2"/>
    <n v="2"/>
    <s v="LWF"/>
    <d v="2015-04-19T00:00:00"/>
  </r>
  <r>
    <s v="Rakhine"/>
    <s v="Sittwe"/>
    <s v="Thae Chaung"/>
    <s v="MMR012CMP046"/>
    <x v="3"/>
    <n v="29"/>
    <s v="LWF"/>
    <d v="2015-04-19T00:00:00"/>
  </r>
  <r>
    <s v="Rakhine"/>
    <s v="Sittwe"/>
    <s v="Thae Chaung"/>
    <s v="MMR012CMP046"/>
    <x v="4"/>
    <n v="639"/>
    <s v="LWF"/>
    <d v="2015-04-19T00:00:00"/>
  </r>
  <r>
    <s v="Rakhine"/>
    <s v="Sittwe"/>
    <s v="Thae Chaung"/>
    <s v="MMR012CMP046"/>
    <x v="5"/>
    <n v="56"/>
    <s v="LWF"/>
    <d v="2015-04-19T00:00:00"/>
  </r>
  <r>
    <s v="Rakhine"/>
    <s v="Sittwe"/>
    <s v="Thae Chaung"/>
    <s v="MMR012CMP046"/>
    <x v="6"/>
    <n v="63"/>
    <s v="LWF"/>
    <d v="2015-04-19T00:00:00"/>
  </r>
  <r>
    <s v="Rakhine"/>
    <s v="Sittwe"/>
    <s v="Thae Chaung"/>
    <s v="MMR012CMP046"/>
    <x v="7"/>
    <n v="36"/>
    <s v="LWF"/>
    <d v="2015-04-19T00:00:00"/>
  </r>
  <r>
    <s v="Rakhine"/>
    <s v="Sittwe"/>
    <s v="Thet Kae Pyin "/>
    <s v="MMR012CMP048"/>
    <x v="0"/>
    <n v="25"/>
    <s v="SCI"/>
    <d v="2015-06-16T00:00:00"/>
  </r>
  <r>
    <s v="Rakhine"/>
    <s v="Sittwe"/>
    <s v="Thet Kae Pyin "/>
    <s v="MMR012CMP048"/>
    <x v="1"/>
    <n v="12"/>
    <s v="SCI"/>
    <d v="2015-06-16T00:00:00"/>
  </r>
  <r>
    <s v="Rakhine"/>
    <s v="Sittwe"/>
    <s v="Thet Kae Pyin "/>
    <s v="MMR012CMP048"/>
    <x v="2"/>
    <n v="4"/>
    <s v="SCI"/>
    <d v="2015-06-16T00:00:00"/>
  </r>
  <r>
    <s v="Rakhine"/>
    <s v="Sittwe"/>
    <s v="Thet Kae Pyin "/>
    <s v="MMR012CMP048"/>
    <x v="3"/>
    <n v="63"/>
    <s v="SCI"/>
    <d v="2015-06-16T00:00:00"/>
  </r>
  <r>
    <s v="Rakhine"/>
    <s v="Sittwe"/>
    <s v="Thet Kae Pyin "/>
    <s v="MMR012CMP048"/>
    <x v="4"/>
    <n v="49"/>
    <s v="SCI"/>
    <d v="2015-06-16T00:00:00"/>
  </r>
  <r>
    <s v="Rakhine"/>
    <s v="Sittwe"/>
    <s v="Thet Kae Pyin "/>
    <s v="MMR012CMP048"/>
    <x v="5"/>
    <n v="37"/>
    <s v="SCI"/>
    <d v="2015-06-16T00:00:00"/>
  </r>
  <r>
    <s v="Rakhine"/>
    <s v="Sittwe"/>
    <s v="Thet Kae Pyin "/>
    <s v="MMR012CMP048"/>
    <x v="6"/>
    <n v="18"/>
    <s v="SCI"/>
    <d v="2015-06-16T00:00:00"/>
  </r>
  <r>
    <s v="Rakhine"/>
    <s v="Sittwe"/>
    <s v="Thet Kae Pyin "/>
    <s v="MMR012CMP048"/>
    <x v="7"/>
    <n v="107"/>
    <s v="SCI"/>
    <d v="2015-06-16T00:00:00"/>
  </r>
</pivotCacheRecords>
</file>

<file path=xl/pivotCache/pivotCacheRecords3.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4.xml><?xml version="1.0" encoding="utf-8"?>
<pivotCacheRecords xmlns="http://schemas.openxmlformats.org/spreadsheetml/2006/main" xmlns:r="http://schemas.openxmlformats.org/officeDocument/2006/relationships" count="276">
  <r>
    <x v="0"/>
    <x v="0"/>
    <s v="MMR012CMP016"/>
    <x v="0"/>
    <x v="0"/>
    <n v="406"/>
  </r>
  <r>
    <x v="0"/>
    <x v="0"/>
    <s v="MMR012CMP016"/>
    <x v="0"/>
    <x v="1"/>
    <n v="472"/>
  </r>
  <r>
    <x v="0"/>
    <x v="0"/>
    <s v="MMR012CMP016"/>
    <x v="1"/>
    <x v="0"/>
    <n v="546"/>
  </r>
  <r>
    <x v="0"/>
    <x v="0"/>
    <s v="MMR012CMP016"/>
    <x v="1"/>
    <x v="1"/>
    <n v="495"/>
  </r>
  <r>
    <x v="0"/>
    <x v="0"/>
    <s v="MMR012CMP016"/>
    <x v="2"/>
    <x v="0"/>
    <n v="297"/>
  </r>
  <r>
    <x v="0"/>
    <x v="0"/>
    <s v="MMR012CMP016"/>
    <x v="3"/>
    <x v="1"/>
    <n v="235"/>
  </r>
  <r>
    <x v="0"/>
    <x v="0"/>
    <s v="MMR012CMP016"/>
    <x v="3"/>
    <x v="0"/>
    <n v="266"/>
  </r>
  <r>
    <x v="0"/>
    <x v="0"/>
    <s v="MMR012CMP016"/>
    <x v="3"/>
    <x v="1"/>
    <n v="453"/>
  </r>
  <r>
    <x v="0"/>
    <x v="0"/>
    <s v="MMR012CMP016"/>
    <x v="4"/>
    <x v="0"/>
    <n v="469"/>
  </r>
  <r>
    <x v="0"/>
    <x v="0"/>
    <s v="MMR012CMP016"/>
    <x v="4"/>
    <x v="1"/>
    <n v="523"/>
  </r>
  <r>
    <x v="0"/>
    <x v="0"/>
    <s v="MMR012CMP016"/>
    <x v="5"/>
    <x v="0"/>
    <n v="62"/>
  </r>
  <r>
    <x v="0"/>
    <x v="0"/>
    <s v="MMR012CMP016"/>
    <x v="5"/>
    <x v="1"/>
    <n v="48"/>
  </r>
  <r>
    <x v="0"/>
    <x v="1"/>
    <s v="MMR012CMP015"/>
    <x v="0"/>
    <x v="0"/>
    <n v="7"/>
  </r>
  <r>
    <x v="0"/>
    <x v="1"/>
    <s v="MMR012CMP015"/>
    <x v="0"/>
    <x v="1"/>
    <n v="14"/>
  </r>
  <r>
    <x v="0"/>
    <x v="1"/>
    <s v="MMR012CMP015"/>
    <x v="1"/>
    <x v="0"/>
    <n v="10"/>
  </r>
  <r>
    <x v="0"/>
    <x v="1"/>
    <s v="MMR012CMP015"/>
    <x v="1"/>
    <x v="1"/>
    <n v="5"/>
  </r>
  <r>
    <x v="0"/>
    <x v="1"/>
    <s v="MMR012CMP015"/>
    <x v="2"/>
    <x v="0"/>
    <n v="7"/>
  </r>
  <r>
    <x v="0"/>
    <x v="1"/>
    <s v="MMR012CMP015"/>
    <x v="3"/>
    <x v="1"/>
    <n v="6"/>
  </r>
  <r>
    <x v="0"/>
    <x v="1"/>
    <s v="MMR012CMP015"/>
    <x v="3"/>
    <x v="0"/>
    <n v="18"/>
  </r>
  <r>
    <x v="0"/>
    <x v="1"/>
    <s v="MMR012CMP015"/>
    <x v="3"/>
    <x v="1"/>
    <n v="13"/>
  </r>
  <r>
    <x v="0"/>
    <x v="1"/>
    <s v="MMR012CMP015"/>
    <x v="4"/>
    <x v="0"/>
    <n v="16"/>
  </r>
  <r>
    <x v="0"/>
    <x v="1"/>
    <s v="MMR012CMP015"/>
    <x v="4"/>
    <x v="1"/>
    <n v="23"/>
  </r>
  <r>
    <x v="0"/>
    <x v="1"/>
    <s v="MMR012CMP015"/>
    <x v="5"/>
    <x v="0"/>
    <n v="1"/>
  </r>
  <r>
    <x v="0"/>
    <x v="1"/>
    <s v="MMR012CMP015"/>
    <x v="5"/>
    <x v="1"/>
    <n v="2"/>
  </r>
  <r>
    <x v="1"/>
    <x v="2"/>
    <s v="MMR012CMP039"/>
    <x v="0"/>
    <x v="0"/>
    <n v="263"/>
  </r>
  <r>
    <x v="1"/>
    <x v="2"/>
    <s v="MMR012CMP039"/>
    <x v="0"/>
    <x v="1"/>
    <n v="240"/>
  </r>
  <r>
    <x v="1"/>
    <x v="2"/>
    <s v="MMR012CMP039"/>
    <x v="1"/>
    <x v="0"/>
    <n v="145"/>
  </r>
  <r>
    <x v="1"/>
    <x v="2"/>
    <s v="MMR012CMP039"/>
    <x v="1"/>
    <x v="1"/>
    <n v="136"/>
  </r>
  <r>
    <x v="1"/>
    <x v="2"/>
    <s v="MMR012CMP039"/>
    <x v="2"/>
    <x v="0"/>
    <n v="112"/>
  </r>
  <r>
    <x v="1"/>
    <x v="2"/>
    <s v="MMR012CMP039"/>
    <x v="3"/>
    <x v="1"/>
    <n v="114"/>
  </r>
  <r>
    <x v="1"/>
    <x v="2"/>
    <s v="MMR012CMP039"/>
    <x v="3"/>
    <x v="0"/>
    <n v="151"/>
  </r>
  <r>
    <x v="1"/>
    <x v="2"/>
    <s v="MMR012CMP039"/>
    <x v="3"/>
    <x v="1"/>
    <n v="208"/>
  </r>
  <r>
    <x v="1"/>
    <x v="2"/>
    <s v="MMR012CMP039"/>
    <x v="4"/>
    <x v="0"/>
    <n v="294"/>
  </r>
  <r>
    <x v="1"/>
    <x v="2"/>
    <s v="MMR012CMP039"/>
    <x v="4"/>
    <x v="1"/>
    <n v="311"/>
  </r>
  <r>
    <x v="1"/>
    <x v="2"/>
    <s v="MMR012CMP039"/>
    <x v="5"/>
    <x v="0"/>
    <n v="34"/>
  </r>
  <r>
    <x v="1"/>
    <x v="2"/>
    <s v="MMR012CMP039"/>
    <x v="5"/>
    <x v="1"/>
    <n v="41"/>
  </r>
  <r>
    <x v="1"/>
    <x v="3"/>
    <s v="MMR012CMP113"/>
    <x v="0"/>
    <x v="0"/>
    <n v="395"/>
  </r>
  <r>
    <x v="1"/>
    <x v="3"/>
    <s v="MMR012CMP113"/>
    <x v="0"/>
    <x v="1"/>
    <n v="419"/>
  </r>
  <r>
    <x v="1"/>
    <x v="3"/>
    <s v="MMR012CMP113"/>
    <x v="1"/>
    <x v="0"/>
    <n v="457"/>
  </r>
  <r>
    <x v="1"/>
    <x v="3"/>
    <s v="MMR012CMP113"/>
    <x v="1"/>
    <x v="1"/>
    <n v="387"/>
  </r>
  <r>
    <x v="1"/>
    <x v="3"/>
    <s v="MMR012CMP113"/>
    <x v="2"/>
    <x v="0"/>
    <n v="360"/>
  </r>
  <r>
    <x v="1"/>
    <x v="3"/>
    <s v="MMR012CMP113"/>
    <x v="3"/>
    <x v="1"/>
    <n v="359"/>
  </r>
  <r>
    <x v="1"/>
    <x v="3"/>
    <s v="MMR012CMP113"/>
    <x v="3"/>
    <x v="0"/>
    <n v="418"/>
  </r>
  <r>
    <x v="1"/>
    <x v="3"/>
    <s v="MMR012CMP113"/>
    <x v="3"/>
    <x v="1"/>
    <n v="513"/>
  </r>
  <r>
    <x v="1"/>
    <x v="3"/>
    <s v="MMR012CMP113"/>
    <x v="4"/>
    <x v="0"/>
    <n v="686"/>
  </r>
  <r>
    <x v="1"/>
    <x v="3"/>
    <s v="MMR012CMP113"/>
    <x v="4"/>
    <x v="1"/>
    <n v="704"/>
  </r>
  <r>
    <x v="1"/>
    <x v="3"/>
    <s v="MMR012CMP113"/>
    <x v="5"/>
    <x v="0"/>
    <n v="75"/>
  </r>
  <r>
    <x v="1"/>
    <x v="3"/>
    <s v="MMR012CMP113"/>
    <x v="5"/>
    <x v="1"/>
    <n v="78"/>
  </r>
  <r>
    <x v="1"/>
    <x v="4"/>
    <s v="MMR012CMP114"/>
    <x v="0"/>
    <x v="0"/>
    <n v="669"/>
  </r>
  <r>
    <x v="1"/>
    <x v="4"/>
    <s v="MMR012CMP114"/>
    <x v="0"/>
    <x v="1"/>
    <n v="686"/>
  </r>
  <r>
    <x v="1"/>
    <x v="4"/>
    <s v="MMR012CMP114"/>
    <x v="1"/>
    <x v="0"/>
    <n v="655"/>
  </r>
  <r>
    <x v="1"/>
    <x v="4"/>
    <s v="MMR012CMP114"/>
    <x v="1"/>
    <x v="1"/>
    <n v="614"/>
  </r>
  <r>
    <x v="1"/>
    <x v="4"/>
    <s v="MMR012CMP114"/>
    <x v="2"/>
    <x v="0"/>
    <n v="504"/>
  </r>
  <r>
    <x v="1"/>
    <x v="4"/>
    <s v="MMR012CMP114"/>
    <x v="3"/>
    <x v="1"/>
    <n v="498"/>
  </r>
  <r>
    <x v="1"/>
    <x v="4"/>
    <s v="MMR012CMP114"/>
    <x v="3"/>
    <x v="0"/>
    <n v="631"/>
  </r>
  <r>
    <x v="1"/>
    <x v="4"/>
    <s v="MMR012CMP114"/>
    <x v="3"/>
    <x v="1"/>
    <n v="766"/>
  </r>
  <r>
    <x v="1"/>
    <x v="4"/>
    <s v="MMR012CMP114"/>
    <x v="4"/>
    <x v="0"/>
    <n v="843"/>
  </r>
  <r>
    <x v="1"/>
    <x v="4"/>
    <s v="MMR012CMP114"/>
    <x v="4"/>
    <x v="1"/>
    <n v="838"/>
  </r>
  <r>
    <x v="1"/>
    <x v="4"/>
    <s v="MMR012CMP114"/>
    <x v="5"/>
    <x v="0"/>
    <n v="103"/>
  </r>
  <r>
    <x v="1"/>
    <x v="4"/>
    <s v="MMR012CMP114"/>
    <x v="5"/>
    <x v="1"/>
    <n v="110"/>
  </r>
  <r>
    <x v="1"/>
    <x v="5"/>
    <s v="MMR012CMP041"/>
    <x v="0"/>
    <x v="0"/>
    <n v="652"/>
  </r>
  <r>
    <x v="1"/>
    <x v="5"/>
    <s v="MMR012CMP041"/>
    <x v="0"/>
    <x v="1"/>
    <n v="708"/>
  </r>
  <r>
    <x v="1"/>
    <x v="5"/>
    <s v="MMR012CMP041"/>
    <x v="1"/>
    <x v="0"/>
    <n v="809"/>
  </r>
  <r>
    <x v="1"/>
    <x v="5"/>
    <s v="MMR012CMP041"/>
    <x v="1"/>
    <x v="1"/>
    <n v="802"/>
  </r>
  <r>
    <x v="1"/>
    <x v="5"/>
    <s v="MMR012CMP041"/>
    <x v="2"/>
    <x v="0"/>
    <n v="648"/>
  </r>
  <r>
    <x v="1"/>
    <x v="5"/>
    <s v="MMR012CMP041"/>
    <x v="3"/>
    <x v="1"/>
    <n v="629"/>
  </r>
  <r>
    <x v="1"/>
    <x v="5"/>
    <s v="MMR012CMP041"/>
    <x v="3"/>
    <x v="0"/>
    <n v="727"/>
  </r>
  <r>
    <x v="1"/>
    <x v="5"/>
    <s v="MMR012CMP041"/>
    <x v="3"/>
    <x v="1"/>
    <n v="876"/>
  </r>
  <r>
    <x v="1"/>
    <x v="5"/>
    <s v="MMR012CMP041"/>
    <x v="4"/>
    <x v="0"/>
    <n v="971"/>
  </r>
  <r>
    <x v="1"/>
    <x v="5"/>
    <s v="MMR012CMP041"/>
    <x v="4"/>
    <x v="1"/>
    <n v="1057"/>
  </r>
  <r>
    <x v="1"/>
    <x v="5"/>
    <s v="MMR012CMP041"/>
    <x v="5"/>
    <x v="0"/>
    <n v="151"/>
  </r>
  <r>
    <x v="1"/>
    <x v="5"/>
    <s v="MMR012CMP041"/>
    <x v="5"/>
    <x v="1"/>
    <n v="159"/>
  </r>
  <r>
    <x v="2"/>
    <x v="6"/>
    <s v="MMR012CMP013"/>
    <x v="0"/>
    <x v="0"/>
    <n v="8"/>
  </r>
  <r>
    <x v="2"/>
    <x v="6"/>
    <s v="MMR012CMP013"/>
    <x v="0"/>
    <x v="1"/>
    <n v="5"/>
  </r>
  <r>
    <x v="2"/>
    <x v="6"/>
    <s v="MMR012CMP013"/>
    <x v="1"/>
    <x v="0"/>
    <n v="14"/>
  </r>
  <r>
    <x v="2"/>
    <x v="6"/>
    <s v="MMR012CMP013"/>
    <x v="1"/>
    <x v="1"/>
    <n v="9"/>
  </r>
  <r>
    <x v="2"/>
    <x v="6"/>
    <s v="MMR012CMP013"/>
    <x v="2"/>
    <x v="0"/>
    <n v="17"/>
  </r>
  <r>
    <x v="2"/>
    <x v="6"/>
    <s v="MMR012CMP013"/>
    <x v="2"/>
    <x v="1"/>
    <n v="11"/>
  </r>
  <r>
    <x v="2"/>
    <x v="6"/>
    <s v="MMR012CMP013"/>
    <x v="3"/>
    <x v="0"/>
    <n v="13"/>
  </r>
  <r>
    <x v="2"/>
    <x v="6"/>
    <s v="MMR012CMP013"/>
    <x v="3"/>
    <x v="1"/>
    <n v="11"/>
  </r>
  <r>
    <x v="2"/>
    <x v="6"/>
    <s v="MMR012CMP013"/>
    <x v="4"/>
    <x v="0"/>
    <n v="45"/>
  </r>
  <r>
    <x v="2"/>
    <x v="6"/>
    <s v="MMR012CMP013"/>
    <x v="4"/>
    <x v="1"/>
    <n v="38"/>
  </r>
  <r>
    <x v="2"/>
    <x v="6"/>
    <s v="MMR012CMP013"/>
    <x v="5"/>
    <x v="0"/>
    <n v="14"/>
  </r>
  <r>
    <x v="2"/>
    <x v="6"/>
    <s v="MMR012CMP013"/>
    <x v="5"/>
    <x v="1"/>
    <n v="13"/>
  </r>
  <r>
    <x v="1"/>
    <x v="7"/>
    <s v="MMR012CMP042"/>
    <x v="0"/>
    <x v="0"/>
    <n v="444"/>
  </r>
  <r>
    <x v="1"/>
    <x v="7"/>
    <s v="MMR012CMP042"/>
    <x v="0"/>
    <x v="1"/>
    <n v="438"/>
  </r>
  <r>
    <x v="1"/>
    <x v="7"/>
    <s v="MMR012CMP042"/>
    <x v="1"/>
    <x v="0"/>
    <n v="391"/>
  </r>
  <r>
    <x v="1"/>
    <x v="7"/>
    <s v="MMR012CMP042"/>
    <x v="1"/>
    <x v="1"/>
    <n v="358"/>
  </r>
  <r>
    <x v="1"/>
    <x v="7"/>
    <s v="MMR012CMP042"/>
    <x v="2"/>
    <x v="0"/>
    <n v="320"/>
  </r>
  <r>
    <x v="1"/>
    <x v="7"/>
    <s v="MMR012CMP042"/>
    <x v="2"/>
    <x v="1"/>
    <n v="273"/>
  </r>
  <r>
    <x v="1"/>
    <x v="7"/>
    <s v="MMR012CMP042"/>
    <x v="3"/>
    <x v="0"/>
    <n v="336"/>
  </r>
  <r>
    <x v="1"/>
    <x v="7"/>
    <s v="MMR012CMP042"/>
    <x v="3"/>
    <x v="1"/>
    <n v="465"/>
  </r>
  <r>
    <x v="1"/>
    <x v="7"/>
    <s v="MMR012CMP042"/>
    <x v="4"/>
    <x v="0"/>
    <n v="581"/>
  </r>
  <r>
    <x v="1"/>
    <x v="7"/>
    <s v="MMR012CMP042"/>
    <x v="4"/>
    <x v="1"/>
    <n v="604"/>
  </r>
  <r>
    <x v="1"/>
    <x v="7"/>
    <s v="MMR012CMP042"/>
    <x v="5"/>
    <x v="0"/>
    <n v="59"/>
  </r>
  <r>
    <x v="1"/>
    <x v="7"/>
    <s v="MMR012CMP042"/>
    <x v="5"/>
    <x v="1"/>
    <n v="73"/>
  </r>
  <r>
    <x v="0"/>
    <x v="8"/>
    <s v="MMR012CMP018"/>
    <x v="0"/>
    <x v="0"/>
    <n v="612"/>
  </r>
  <r>
    <x v="0"/>
    <x v="8"/>
    <s v="MMR012CMP018"/>
    <x v="0"/>
    <x v="1"/>
    <n v="589"/>
  </r>
  <r>
    <x v="0"/>
    <x v="8"/>
    <s v="MMR012CMP018"/>
    <x v="1"/>
    <x v="0"/>
    <n v="456"/>
  </r>
  <r>
    <x v="0"/>
    <x v="8"/>
    <s v="MMR012CMP018"/>
    <x v="1"/>
    <x v="1"/>
    <n v="523"/>
  </r>
  <r>
    <x v="0"/>
    <x v="8"/>
    <s v="MMR012CMP018"/>
    <x v="2"/>
    <x v="0"/>
    <n v="355"/>
  </r>
  <r>
    <x v="0"/>
    <x v="8"/>
    <s v="MMR012CMP018"/>
    <x v="2"/>
    <x v="1"/>
    <n v="297"/>
  </r>
  <r>
    <x v="0"/>
    <x v="8"/>
    <s v="MMR012CMP018"/>
    <x v="3"/>
    <x v="0"/>
    <n v="345"/>
  </r>
  <r>
    <x v="0"/>
    <x v="8"/>
    <s v="MMR012CMP018"/>
    <x v="3"/>
    <x v="1"/>
    <n v="482"/>
  </r>
  <r>
    <x v="0"/>
    <x v="8"/>
    <s v="MMR012CMP018"/>
    <x v="4"/>
    <x v="0"/>
    <n v="599"/>
  </r>
  <r>
    <x v="0"/>
    <x v="8"/>
    <s v="MMR012CMP018"/>
    <x v="4"/>
    <x v="1"/>
    <n v="602"/>
  </r>
  <r>
    <x v="0"/>
    <x v="8"/>
    <s v="MMR012CMP018"/>
    <x v="5"/>
    <x v="0"/>
    <n v="104"/>
  </r>
  <r>
    <x v="0"/>
    <x v="8"/>
    <s v="MMR012CMP018"/>
    <x v="5"/>
    <x v="1"/>
    <n v="96"/>
  </r>
  <r>
    <x v="1"/>
    <x v="9"/>
    <s v="MMR012CMP092"/>
    <x v="0"/>
    <x v="0"/>
    <n v="304"/>
  </r>
  <r>
    <x v="1"/>
    <x v="9"/>
    <s v="MMR012CMP092"/>
    <x v="0"/>
    <x v="1"/>
    <n v="336"/>
  </r>
  <r>
    <x v="1"/>
    <x v="9"/>
    <s v="MMR012CMP092"/>
    <x v="1"/>
    <x v="0"/>
    <n v="295"/>
  </r>
  <r>
    <x v="1"/>
    <x v="9"/>
    <s v="MMR012CMP092"/>
    <x v="1"/>
    <x v="1"/>
    <n v="276"/>
  </r>
  <r>
    <x v="1"/>
    <x v="9"/>
    <s v="MMR012CMP092"/>
    <x v="2"/>
    <x v="0"/>
    <n v="218"/>
  </r>
  <r>
    <x v="1"/>
    <x v="9"/>
    <s v="MMR012CMP092"/>
    <x v="2"/>
    <x v="1"/>
    <n v="224"/>
  </r>
  <r>
    <x v="1"/>
    <x v="9"/>
    <s v="MMR012CMP092"/>
    <x v="3"/>
    <x v="0"/>
    <n v="288"/>
  </r>
  <r>
    <x v="1"/>
    <x v="9"/>
    <s v="MMR012CMP092"/>
    <x v="3"/>
    <x v="1"/>
    <n v="348"/>
  </r>
  <r>
    <x v="1"/>
    <x v="9"/>
    <s v="MMR012CMP092"/>
    <x v="4"/>
    <x v="0"/>
    <n v="439"/>
  </r>
  <r>
    <x v="1"/>
    <x v="9"/>
    <s v="MMR012CMP092"/>
    <x v="4"/>
    <x v="1"/>
    <n v="483"/>
  </r>
  <r>
    <x v="1"/>
    <x v="9"/>
    <s v="MMR012CMP092"/>
    <x v="5"/>
    <x v="0"/>
    <n v="74"/>
  </r>
  <r>
    <x v="1"/>
    <x v="9"/>
    <s v="MMR012CMP092"/>
    <x v="5"/>
    <x v="1"/>
    <n v="67"/>
  </r>
  <r>
    <x v="0"/>
    <x v="10"/>
    <s v="MMR012CMP017"/>
    <x v="0"/>
    <x v="0"/>
    <n v="1000"/>
  </r>
  <r>
    <x v="0"/>
    <x v="10"/>
    <s v="MMR012CMP017"/>
    <x v="0"/>
    <x v="1"/>
    <n v="939"/>
  </r>
  <r>
    <x v="0"/>
    <x v="10"/>
    <s v="MMR012CMP017"/>
    <x v="1"/>
    <x v="0"/>
    <n v="740"/>
  </r>
  <r>
    <x v="0"/>
    <x v="10"/>
    <s v="MMR012CMP017"/>
    <x v="1"/>
    <x v="1"/>
    <n v="743"/>
  </r>
  <r>
    <x v="0"/>
    <x v="10"/>
    <s v="MMR012CMP017"/>
    <x v="2"/>
    <x v="0"/>
    <n v="522"/>
  </r>
  <r>
    <x v="0"/>
    <x v="10"/>
    <s v="MMR012CMP017"/>
    <x v="2"/>
    <x v="1"/>
    <n v="383"/>
  </r>
  <r>
    <x v="0"/>
    <x v="10"/>
    <s v="MMR012CMP017"/>
    <x v="3"/>
    <x v="0"/>
    <n v="509"/>
  </r>
  <r>
    <x v="0"/>
    <x v="10"/>
    <s v="MMR012CMP017"/>
    <x v="3"/>
    <x v="1"/>
    <n v="758"/>
  </r>
  <r>
    <x v="0"/>
    <x v="10"/>
    <s v="MMR012CMP017"/>
    <x v="4"/>
    <x v="0"/>
    <n v="850"/>
  </r>
  <r>
    <x v="0"/>
    <x v="10"/>
    <s v="MMR012CMP017"/>
    <x v="4"/>
    <x v="1"/>
    <n v="747"/>
  </r>
  <r>
    <x v="0"/>
    <x v="10"/>
    <s v="MMR012CMP017"/>
    <x v="5"/>
    <x v="0"/>
    <n v="117"/>
  </r>
  <r>
    <x v="0"/>
    <x v="10"/>
    <s v="MMR012CMP017"/>
    <x v="5"/>
    <x v="1"/>
    <n v="94"/>
  </r>
  <r>
    <x v="1"/>
    <x v="11"/>
    <s v="MMR012CMP098"/>
    <x v="0"/>
    <x v="0"/>
    <n v="352"/>
  </r>
  <r>
    <x v="1"/>
    <x v="11"/>
    <s v="MMR012CMP098"/>
    <x v="0"/>
    <x v="1"/>
    <n v="415"/>
  </r>
  <r>
    <x v="1"/>
    <x v="11"/>
    <s v="MMR012CMP098"/>
    <x v="1"/>
    <x v="0"/>
    <n v="429"/>
  </r>
  <r>
    <x v="1"/>
    <x v="11"/>
    <s v="MMR012CMP098"/>
    <x v="1"/>
    <x v="1"/>
    <n v="365"/>
  </r>
  <r>
    <x v="1"/>
    <x v="11"/>
    <s v="MMR012CMP098"/>
    <x v="2"/>
    <x v="0"/>
    <n v="259"/>
  </r>
  <r>
    <x v="1"/>
    <x v="11"/>
    <s v="MMR012CMP098"/>
    <x v="2"/>
    <x v="1"/>
    <n v="224"/>
  </r>
  <r>
    <x v="1"/>
    <x v="11"/>
    <s v="MMR012CMP098"/>
    <x v="3"/>
    <x v="0"/>
    <n v="243"/>
  </r>
  <r>
    <x v="1"/>
    <x v="11"/>
    <s v="MMR012CMP098"/>
    <x v="3"/>
    <x v="1"/>
    <n v="291"/>
  </r>
  <r>
    <x v="1"/>
    <x v="11"/>
    <s v="MMR012CMP098"/>
    <x v="4"/>
    <x v="0"/>
    <n v="364"/>
  </r>
  <r>
    <x v="1"/>
    <x v="11"/>
    <s v="MMR012CMP098"/>
    <x v="4"/>
    <x v="1"/>
    <n v="375"/>
  </r>
  <r>
    <x v="1"/>
    <x v="11"/>
    <s v="MMR012CMP098"/>
    <x v="5"/>
    <x v="0"/>
    <n v="45"/>
  </r>
  <r>
    <x v="1"/>
    <x v="11"/>
    <s v="MMR012CMP098"/>
    <x v="5"/>
    <x v="1"/>
    <n v="27"/>
  </r>
  <r>
    <x v="1"/>
    <x v="12"/>
    <s v="MMR012CMP115"/>
    <x v="0"/>
    <x v="0"/>
    <n v="1479"/>
  </r>
  <r>
    <x v="1"/>
    <x v="12"/>
    <s v="MMR012CMP115"/>
    <x v="0"/>
    <x v="1"/>
    <n v="1429"/>
  </r>
  <r>
    <x v="1"/>
    <x v="12"/>
    <s v="MMR012CMP115"/>
    <x v="1"/>
    <x v="0"/>
    <n v="1461"/>
  </r>
  <r>
    <x v="1"/>
    <x v="12"/>
    <s v="MMR012CMP115"/>
    <x v="1"/>
    <x v="1"/>
    <n v="1300"/>
  </r>
  <r>
    <x v="1"/>
    <x v="12"/>
    <s v="MMR012CMP115"/>
    <x v="2"/>
    <x v="0"/>
    <n v="1004"/>
  </r>
  <r>
    <x v="1"/>
    <x v="12"/>
    <s v="MMR012CMP115"/>
    <x v="2"/>
    <x v="1"/>
    <n v="907"/>
  </r>
  <r>
    <x v="1"/>
    <x v="12"/>
    <s v="MMR012CMP115"/>
    <x v="3"/>
    <x v="0"/>
    <n v="1034"/>
  </r>
  <r>
    <x v="1"/>
    <x v="12"/>
    <s v="MMR012CMP115"/>
    <x v="3"/>
    <x v="1"/>
    <n v="1495"/>
  </r>
  <r>
    <x v="1"/>
    <x v="12"/>
    <s v="MMR012CMP115"/>
    <x v="4"/>
    <x v="0"/>
    <n v="1406"/>
  </r>
  <r>
    <x v="1"/>
    <x v="12"/>
    <s v="MMR012CMP115"/>
    <x v="4"/>
    <x v="1"/>
    <n v="1562"/>
  </r>
  <r>
    <x v="1"/>
    <x v="12"/>
    <s v="MMR012CMP115"/>
    <x v="5"/>
    <x v="0"/>
    <n v="259"/>
  </r>
  <r>
    <x v="1"/>
    <x v="12"/>
    <s v="MMR012CMP115"/>
    <x v="5"/>
    <x v="1"/>
    <n v="319"/>
  </r>
  <r>
    <x v="1"/>
    <x v="13"/>
    <s v="MMR012CMP116"/>
    <x v="0"/>
    <x v="0"/>
    <n v="1179"/>
  </r>
  <r>
    <x v="1"/>
    <x v="13"/>
    <s v="MMR012CMP116"/>
    <x v="0"/>
    <x v="1"/>
    <n v="1150"/>
  </r>
  <r>
    <x v="1"/>
    <x v="13"/>
    <s v="MMR012CMP116"/>
    <x v="1"/>
    <x v="0"/>
    <n v="1316"/>
  </r>
  <r>
    <x v="1"/>
    <x v="13"/>
    <s v="MMR012CMP116"/>
    <x v="1"/>
    <x v="1"/>
    <n v="1190"/>
  </r>
  <r>
    <x v="1"/>
    <x v="13"/>
    <s v="MMR012CMP116"/>
    <x v="2"/>
    <x v="0"/>
    <n v="957"/>
  </r>
  <r>
    <x v="1"/>
    <x v="13"/>
    <s v="MMR012CMP116"/>
    <x v="2"/>
    <x v="1"/>
    <n v="835"/>
  </r>
  <r>
    <x v="1"/>
    <x v="13"/>
    <s v="MMR012CMP116"/>
    <x v="3"/>
    <x v="0"/>
    <n v="799"/>
  </r>
  <r>
    <x v="1"/>
    <x v="13"/>
    <s v="MMR012CMP116"/>
    <x v="3"/>
    <x v="1"/>
    <n v="1214"/>
  </r>
  <r>
    <x v="1"/>
    <x v="13"/>
    <s v="MMR012CMP116"/>
    <x v="4"/>
    <x v="0"/>
    <n v="1331"/>
  </r>
  <r>
    <x v="1"/>
    <x v="13"/>
    <s v="MMR012CMP116"/>
    <x v="4"/>
    <x v="1"/>
    <n v="1353"/>
  </r>
  <r>
    <x v="1"/>
    <x v="13"/>
    <s v="MMR012CMP116"/>
    <x v="5"/>
    <x v="0"/>
    <n v="197"/>
  </r>
  <r>
    <x v="1"/>
    <x v="13"/>
    <s v="MMR012CMP116"/>
    <x v="5"/>
    <x v="1"/>
    <n v="183"/>
  </r>
  <r>
    <x v="1"/>
    <x v="14"/>
    <s v="MMR012CMP111"/>
    <x v="0"/>
    <x v="0"/>
    <n v="65"/>
  </r>
  <r>
    <x v="1"/>
    <x v="14"/>
    <s v="MMR012CMP111"/>
    <x v="0"/>
    <x v="1"/>
    <n v="56"/>
  </r>
  <r>
    <x v="1"/>
    <x v="14"/>
    <s v="MMR012CMP111"/>
    <x v="1"/>
    <x v="0"/>
    <n v="84"/>
  </r>
  <r>
    <x v="1"/>
    <x v="14"/>
    <s v="MMR012CMP111"/>
    <x v="1"/>
    <x v="1"/>
    <n v="73"/>
  </r>
  <r>
    <x v="1"/>
    <x v="14"/>
    <s v="MMR012CMP111"/>
    <x v="2"/>
    <x v="0"/>
    <n v="72"/>
  </r>
  <r>
    <x v="1"/>
    <x v="14"/>
    <s v="MMR012CMP111"/>
    <x v="2"/>
    <x v="1"/>
    <n v="95"/>
  </r>
  <r>
    <x v="1"/>
    <x v="14"/>
    <s v="MMR012CMP111"/>
    <x v="3"/>
    <x v="0"/>
    <n v="92"/>
  </r>
  <r>
    <x v="1"/>
    <x v="14"/>
    <s v="MMR012CMP111"/>
    <x v="3"/>
    <x v="1"/>
    <n v="117"/>
  </r>
  <r>
    <x v="1"/>
    <x v="14"/>
    <s v="MMR012CMP111"/>
    <x v="4"/>
    <x v="0"/>
    <n v="265"/>
  </r>
  <r>
    <x v="1"/>
    <x v="14"/>
    <s v="MMR012CMP111"/>
    <x v="4"/>
    <x v="1"/>
    <n v="264"/>
  </r>
  <r>
    <x v="1"/>
    <x v="14"/>
    <s v="MMR012CMP111"/>
    <x v="5"/>
    <x v="0"/>
    <n v="40"/>
  </r>
  <r>
    <x v="1"/>
    <x v="14"/>
    <s v="MMR012CMP111"/>
    <x v="5"/>
    <x v="1"/>
    <n v="59"/>
  </r>
  <r>
    <x v="1"/>
    <x v="15"/>
    <s v="MMR012CMP112"/>
    <x v="0"/>
    <x v="0"/>
    <n v="112"/>
  </r>
  <r>
    <x v="1"/>
    <x v="15"/>
    <s v="MMR012CMP112"/>
    <x v="0"/>
    <x v="1"/>
    <n v="122"/>
  </r>
  <r>
    <x v="1"/>
    <x v="15"/>
    <s v="MMR012CMP112"/>
    <x v="1"/>
    <x v="0"/>
    <n v="127"/>
  </r>
  <r>
    <x v="1"/>
    <x v="15"/>
    <s v="MMR012CMP112"/>
    <x v="1"/>
    <x v="1"/>
    <n v="128"/>
  </r>
  <r>
    <x v="1"/>
    <x v="15"/>
    <s v="MMR012CMP112"/>
    <x v="2"/>
    <x v="0"/>
    <n v="148"/>
  </r>
  <r>
    <x v="1"/>
    <x v="15"/>
    <s v="MMR012CMP112"/>
    <x v="2"/>
    <x v="1"/>
    <n v="144"/>
  </r>
  <r>
    <x v="1"/>
    <x v="15"/>
    <s v="MMR012CMP112"/>
    <x v="3"/>
    <x v="0"/>
    <n v="184"/>
  </r>
  <r>
    <x v="1"/>
    <x v="15"/>
    <s v="MMR012CMP112"/>
    <x v="3"/>
    <x v="1"/>
    <n v="199"/>
  </r>
  <r>
    <x v="1"/>
    <x v="15"/>
    <s v="MMR012CMP112"/>
    <x v="4"/>
    <x v="0"/>
    <n v="434"/>
  </r>
  <r>
    <x v="1"/>
    <x v="15"/>
    <s v="MMR012CMP112"/>
    <x v="4"/>
    <x v="1"/>
    <n v="445"/>
  </r>
  <r>
    <x v="1"/>
    <x v="15"/>
    <s v="MMR012CMP112"/>
    <x v="5"/>
    <x v="0"/>
    <n v="65"/>
  </r>
  <r>
    <x v="1"/>
    <x v="15"/>
    <s v="MMR012CMP112"/>
    <x v="5"/>
    <x v="1"/>
    <n v="92"/>
  </r>
  <r>
    <x v="1"/>
    <x v="16"/>
    <s v="MMR012CMP045"/>
    <x v="0"/>
    <x v="0"/>
    <n v="1277"/>
  </r>
  <r>
    <x v="1"/>
    <x v="16"/>
    <s v="MMR012CMP045"/>
    <x v="0"/>
    <x v="1"/>
    <n v="1293"/>
  </r>
  <r>
    <x v="1"/>
    <x v="16"/>
    <s v="MMR012CMP045"/>
    <x v="1"/>
    <x v="0"/>
    <n v="1337"/>
  </r>
  <r>
    <x v="1"/>
    <x v="16"/>
    <s v="MMR012CMP045"/>
    <x v="1"/>
    <x v="1"/>
    <n v="1219"/>
  </r>
  <r>
    <x v="1"/>
    <x v="16"/>
    <s v="MMR012CMP045"/>
    <x v="2"/>
    <x v="0"/>
    <n v="852"/>
  </r>
  <r>
    <x v="1"/>
    <x v="16"/>
    <s v="MMR012CMP045"/>
    <x v="2"/>
    <x v="1"/>
    <n v="844"/>
  </r>
  <r>
    <x v="1"/>
    <x v="16"/>
    <s v="MMR012CMP045"/>
    <x v="3"/>
    <x v="0"/>
    <n v="901"/>
  </r>
  <r>
    <x v="1"/>
    <x v="16"/>
    <s v="MMR012CMP045"/>
    <x v="3"/>
    <x v="1"/>
    <n v="1275"/>
  </r>
  <r>
    <x v="1"/>
    <x v="16"/>
    <s v="MMR012CMP045"/>
    <x v="4"/>
    <x v="0"/>
    <n v="1335"/>
  </r>
  <r>
    <x v="1"/>
    <x v="16"/>
    <s v="MMR012CMP045"/>
    <x v="4"/>
    <x v="1"/>
    <n v="1475"/>
  </r>
  <r>
    <x v="1"/>
    <x v="16"/>
    <s v="MMR012CMP045"/>
    <x v="5"/>
    <x v="0"/>
    <n v="190"/>
  </r>
  <r>
    <x v="1"/>
    <x v="16"/>
    <s v="MMR012CMP045"/>
    <x v="5"/>
    <x v="1"/>
    <n v="180"/>
  </r>
  <r>
    <x v="1"/>
    <x v="17"/>
    <s v="MMR012CMP056"/>
    <x v="0"/>
    <x v="0"/>
    <n v="25"/>
  </r>
  <r>
    <x v="1"/>
    <x v="17"/>
    <s v="MMR012CMP056"/>
    <x v="0"/>
    <x v="1"/>
    <n v="24"/>
  </r>
  <r>
    <x v="1"/>
    <x v="17"/>
    <s v="MMR012CMP056"/>
    <x v="1"/>
    <x v="0"/>
    <n v="25"/>
  </r>
  <r>
    <x v="1"/>
    <x v="17"/>
    <s v="MMR012CMP056"/>
    <x v="1"/>
    <x v="1"/>
    <n v="31"/>
  </r>
  <r>
    <x v="1"/>
    <x v="17"/>
    <s v="MMR012CMP056"/>
    <x v="2"/>
    <x v="0"/>
    <n v="39"/>
  </r>
  <r>
    <x v="1"/>
    <x v="17"/>
    <s v="MMR012CMP056"/>
    <x v="2"/>
    <x v="1"/>
    <n v="34"/>
  </r>
  <r>
    <x v="1"/>
    <x v="17"/>
    <s v="MMR012CMP056"/>
    <x v="3"/>
    <x v="0"/>
    <n v="50"/>
  </r>
  <r>
    <x v="1"/>
    <x v="17"/>
    <s v="MMR012CMP056"/>
    <x v="3"/>
    <x v="1"/>
    <n v="53"/>
  </r>
  <r>
    <x v="1"/>
    <x v="17"/>
    <s v="MMR012CMP056"/>
    <x v="4"/>
    <x v="0"/>
    <n v="79"/>
  </r>
  <r>
    <x v="1"/>
    <x v="17"/>
    <s v="MMR012CMP056"/>
    <x v="4"/>
    <x v="1"/>
    <n v="80"/>
  </r>
  <r>
    <x v="1"/>
    <x v="17"/>
    <s v="MMR012CMP056"/>
    <x v="5"/>
    <x v="0"/>
    <n v="9"/>
  </r>
  <r>
    <x v="1"/>
    <x v="17"/>
    <s v="MMR012CMP056"/>
    <x v="5"/>
    <x v="1"/>
    <n v="13"/>
  </r>
  <r>
    <x v="1"/>
    <x v="18"/>
    <s v="MMR012CMP093"/>
    <x v="0"/>
    <x v="0"/>
    <n v="50"/>
  </r>
  <r>
    <x v="1"/>
    <x v="18"/>
    <s v="MMR012CMP093"/>
    <x v="0"/>
    <x v="1"/>
    <n v="63"/>
  </r>
  <r>
    <x v="1"/>
    <x v="18"/>
    <s v="MMR012CMP093"/>
    <x v="1"/>
    <x v="0"/>
    <n v="41"/>
  </r>
  <r>
    <x v="1"/>
    <x v="18"/>
    <s v="MMR012CMP093"/>
    <x v="1"/>
    <x v="1"/>
    <n v="44"/>
  </r>
  <r>
    <x v="1"/>
    <x v="18"/>
    <s v="MMR012CMP093"/>
    <x v="2"/>
    <x v="0"/>
    <n v="40"/>
  </r>
  <r>
    <x v="1"/>
    <x v="18"/>
    <s v="MMR012CMP093"/>
    <x v="2"/>
    <x v="1"/>
    <n v="36"/>
  </r>
  <r>
    <x v="1"/>
    <x v="18"/>
    <s v="MMR012CMP093"/>
    <x v="3"/>
    <x v="0"/>
    <n v="40"/>
  </r>
  <r>
    <x v="1"/>
    <x v="18"/>
    <s v="MMR012CMP093"/>
    <x v="3"/>
    <x v="1"/>
    <n v="51"/>
  </r>
  <r>
    <x v="1"/>
    <x v="18"/>
    <s v="MMR012CMP093"/>
    <x v="4"/>
    <x v="0"/>
    <n v="121"/>
  </r>
  <r>
    <x v="1"/>
    <x v="18"/>
    <s v="MMR012CMP093"/>
    <x v="4"/>
    <x v="1"/>
    <n v="124"/>
  </r>
  <r>
    <x v="1"/>
    <x v="18"/>
    <s v="MMR012CMP093"/>
    <x v="5"/>
    <x v="0"/>
    <n v="7"/>
  </r>
  <r>
    <x v="1"/>
    <x v="18"/>
    <s v="MMR012CMP093"/>
    <x v="5"/>
    <x v="1"/>
    <n v="23"/>
  </r>
  <r>
    <x v="0"/>
    <x v="19"/>
    <s v="MMR012CMP019"/>
    <x v="0"/>
    <x v="0"/>
    <n v="231"/>
  </r>
  <r>
    <x v="0"/>
    <x v="19"/>
    <s v="MMR012CMP019"/>
    <x v="0"/>
    <x v="1"/>
    <n v="196"/>
  </r>
  <r>
    <x v="0"/>
    <x v="19"/>
    <s v="MMR012CMP019"/>
    <x v="1"/>
    <x v="0"/>
    <n v="218"/>
  </r>
  <r>
    <x v="0"/>
    <x v="19"/>
    <s v="MMR012CMP019"/>
    <x v="1"/>
    <x v="1"/>
    <n v="204"/>
  </r>
  <r>
    <x v="0"/>
    <x v="19"/>
    <s v="MMR012CMP019"/>
    <x v="2"/>
    <x v="0"/>
    <n v="199"/>
  </r>
  <r>
    <x v="0"/>
    <x v="19"/>
    <s v="MMR012CMP019"/>
    <x v="2"/>
    <x v="1"/>
    <n v="179"/>
  </r>
  <r>
    <x v="0"/>
    <x v="19"/>
    <s v="MMR012CMP019"/>
    <x v="3"/>
    <x v="0"/>
    <n v="216"/>
  </r>
  <r>
    <x v="0"/>
    <x v="19"/>
    <s v="MMR012CMP019"/>
    <x v="3"/>
    <x v="1"/>
    <n v="248"/>
  </r>
  <r>
    <x v="0"/>
    <x v="19"/>
    <s v="MMR012CMP019"/>
    <x v="4"/>
    <x v="0"/>
    <n v="422"/>
  </r>
  <r>
    <x v="0"/>
    <x v="19"/>
    <s v="MMR012CMP019"/>
    <x v="4"/>
    <x v="1"/>
    <n v="454"/>
  </r>
  <r>
    <x v="0"/>
    <x v="19"/>
    <s v="MMR012CMP019"/>
    <x v="5"/>
    <x v="0"/>
    <n v="40"/>
  </r>
  <r>
    <x v="0"/>
    <x v="19"/>
    <s v="MMR012CMP019"/>
    <x v="5"/>
    <x v="1"/>
    <n v="61"/>
  </r>
  <r>
    <x v="2"/>
    <x v="20"/>
    <s v="MMR012CMP014"/>
    <x v="0"/>
    <x v="0"/>
    <n v="238"/>
  </r>
  <r>
    <x v="2"/>
    <x v="20"/>
    <s v="MMR012CMP014"/>
    <x v="0"/>
    <x v="1"/>
    <n v="266"/>
  </r>
  <r>
    <x v="2"/>
    <x v="20"/>
    <s v="MMR012CMP014"/>
    <x v="1"/>
    <x v="0"/>
    <n v="237"/>
  </r>
  <r>
    <x v="2"/>
    <x v="20"/>
    <s v="MMR012CMP014"/>
    <x v="1"/>
    <x v="1"/>
    <n v="259"/>
  </r>
  <r>
    <x v="2"/>
    <x v="20"/>
    <s v="MMR012CMP014"/>
    <x v="2"/>
    <x v="0"/>
    <n v="193"/>
  </r>
  <r>
    <x v="2"/>
    <x v="20"/>
    <s v="MMR012CMP014"/>
    <x v="2"/>
    <x v="1"/>
    <n v="209"/>
  </r>
  <r>
    <x v="2"/>
    <x v="20"/>
    <s v="MMR012CMP014"/>
    <x v="3"/>
    <x v="0"/>
    <n v="165"/>
  </r>
  <r>
    <x v="2"/>
    <x v="20"/>
    <s v="MMR012CMP014"/>
    <x v="3"/>
    <x v="1"/>
    <n v="195"/>
  </r>
  <r>
    <x v="2"/>
    <x v="20"/>
    <s v="MMR012CMP014"/>
    <x v="4"/>
    <x v="0"/>
    <n v="375"/>
  </r>
  <r>
    <x v="2"/>
    <x v="20"/>
    <s v="MMR012CMP014"/>
    <x v="4"/>
    <x v="1"/>
    <n v="471"/>
  </r>
  <r>
    <x v="2"/>
    <x v="20"/>
    <s v="MMR012CMP014"/>
    <x v="5"/>
    <x v="0"/>
    <n v="51"/>
  </r>
  <r>
    <x v="2"/>
    <x v="20"/>
    <s v="MMR012CMP014"/>
    <x v="5"/>
    <x v="1"/>
    <n v="42"/>
  </r>
  <r>
    <x v="1"/>
    <x v="21"/>
    <s v="MMR012CMP046"/>
    <x v="0"/>
    <x v="0"/>
    <n v="842"/>
  </r>
  <r>
    <x v="1"/>
    <x v="21"/>
    <s v="MMR012CMP046"/>
    <x v="0"/>
    <x v="1"/>
    <n v="951"/>
  </r>
  <r>
    <x v="1"/>
    <x v="21"/>
    <s v="MMR012CMP046"/>
    <x v="1"/>
    <x v="0"/>
    <n v="1027"/>
  </r>
  <r>
    <x v="1"/>
    <x v="21"/>
    <s v="MMR012CMP046"/>
    <x v="1"/>
    <x v="1"/>
    <n v="987"/>
  </r>
  <r>
    <x v="1"/>
    <x v="21"/>
    <s v="MMR012CMP046"/>
    <x v="2"/>
    <x v="0"/>
    <n v="960"/>
  </r>
  <r>
    <x v="1"/>
    <x v="21"/>
    <s v="MMR012CMP046"/>
    <x v="2"/>
    <x v="1"/>
    <n v="924"/>
  </r>
  <r>
    <x v="1"/>
    <x v="21"/>
    <s v="MMR012CMP046"/>
    <x v="3"/>
    <x v="0"/>
    <n v="1002"/>
  </r>
  <r>
    <x v="1"/>
    <x v="21"/>
    <s v="MMR012CMP046"/>
    <x v="3"/>
    <x v="1"/>
    <n v="1217"/>
  </r>
  <r>
    <x v="1"/>
    <x v="21"/>
    <s v="MMR012CMP046"/>
    <x v="4"/>
    <x v="0"/>
    <n v="1554"/>
  </r>
  <r>
    <x v="1"/>
    <x v="21"/>
    <s v="MMR012CMP046"/>
    <x v="4"/>
    <x v="1"/>
    <n v="1821"/>
  </r>
  <r>
    <x v="1"/>
    <x v="21"/>
    <s v="MMR012CMP046"/>
    <x v="5"/>
    <x v="0"/>
    <n v="208"/>
  </r>
  <r>
    <x v="1"/>
    <x v="21"/>
    <s v="MMR012CMP046"/>
    <x v="5"/>
    <x v="1"/>
    <n v="170"/>
  </r>
  <r>
    <x v="1"/>
    <x v="22"/>
    <s v="MMR012CMP048"/>
    <x v="0"/>
    <x v="0"/>
    <n v="523"/>
  </r>
  <r>
    <x v="1"/>
    <x v="22"/>
    <s v="MMR012CMP048"/>
    <x v="0"/>
    <x v="1"/>
    <n v="564"/>
  </r>
  <r>
    <x v="1"/>
    <x v="22"/>
    <s v="MMR012CMP048"/>
    <x v="1"/>
    <x v="0"/>
    <n v="490"/>
  </r>
  <r>
    <x v="1"/>
    <x v="22"/>
    <s v="MMR012CMP048"/>
    <x v="1"/>
    <x v="1"/>
    <n v="470"/>
  </r>
  <r>
    <x v="1"/>
    <x v="22"/>
    <s v="MMR012CMP048"/>
    <x v="2"/>
    <x v="0"/>
    <n v="399"/>
  </r>
  <r>
    <x v="1"/>
    <x v="22"/>
    <s v="MMR012CMP048"/>
    <x v="2"/>
    <x v="1"/>
    <n v="409"/>
  </r>
  <r>
    <x v="1"/>
    <x v="22"/>
    <s v="MMR012CMP048"/>
    <x v="3"/>
    <x v="0"/>
    <n v="399"/>
  </r>
  <r>
    <x v="1"/>
    <x v="22"/>
    <s v="MMR012CMP048"/>
    <x v="3"/>
    <x v="1"/>
    <n v="508"/>
  </r>
  <r>
    <x v="1"/>
    <x v="22"/>
    <s v="MMR012CMP048"/>
    <x v="4"/>
    <x v="0"/>
    <n v="810"/>
  </r>
  <r>
    <x v="1"/>
    <x v="22"/>
    <s v="MMR012CMP048"/>
    <x v="4"/>
    <x v="1"/>
    <n v="887"/>
  </r>
  <r>
    <x v="1"/>
    <x v="22"/>
    <s v="MMR012CMP048"/>
    <x v="5"/>
    <x v="0"/>
    <n v="100"/>
  </r>
  <r>
    <x v="1"/>
    <x v="22"/>
    <s v="MMR012CMP048"/>
    <x v="5"/>
    <x v="1"/>
    <n v="97"/>
  </r>
</pivotCacheRecords>
</file>

<file path=xl/pivotCache/pivotCacheRecords5.xml><?xml version="1.0" encoding="utf-8"?>
<pivotCacheRecords xmlns="http://schemas.openxmlformats.org/spreadsheetml/2006/main" xmlns:r="http://schemas.openxmlformats.org/officeDocument/2006/relationships" count="389">
  <r>
    <x v="0"/>
    <n v="2015"/>
    <d v="2015-12-09T00:00:00"/>
    <x v="0"/>
    <s v="LWF"/>
    <x v="0"/>
    <x v="0"/>
    <s v="Khaung Doke Khar "/>
    <m/>
    <m/>
    <m/>
    <m/>
    <m/>
    <n v="1598"/>
    <m/>
    <m/>
    <m/>
    <m/>
    <m/>
    <n v="0"/>
    <n v="0"/>
    <n v="0"/>
    <n v="0"/>
    <n v="0"/>
    <n v="1598"/>
    <n v="0"/>
    <n v="0"/>
    <n v="0"/>
    <n v="0"/>
    <n v="0"/>
    <s v="MMR012CMP042"/>
    <s v="Open"/>
  </r>
  <r>
    <x v="1"/>
    <n v="2015"/>
    <d v="2015-11-23T00:00:00"/>
    <x v="1"/>
    <m/>
    <x v="0"/>
    <x v="1"/>
    <s v="Ah Nauk Ywe"/>
    <m/>
    <n v="986"/>
    <m/>
    <n v="1972"/>
    <n v="986"/>
    <n v="1972"/>
    <n v="986"/>
    <m/>
    <n v="968"/>
    <n v="986"/>
    <n v="4930"/>
    <n v="0"/>
    <n v="986"/>
    <n v="0"/>
    <n v="1972"/>
    <n v="986"/>
    <n v="1972"/>
    <n v="986"/>
    <n v="0"/>
    <n v="968"/>
    <n v="986"/>
    <n v="12325"/>
    <s v="MMR012CMP016"/>
    <s v="Open"/>
  </r>
  <r>
    <x v="2"/>
    <n v="2015"/>
    <d v="2015-11-19T00:00:00"/>
    <x v="2"/>
    <s v="LWF"/>
    <x v="0"/>
    <x v="1"/>
    <s v="Nget Chaung"/>
    <m/>
    <m/>
    <m/>
    <n v="1563"/>
    <m/>
    <m/>
    <m/>
    <m/>
    <m/>
    <m/>
    <m/>
    <n v="0"/>
    <n v="0"/>
    <n v="0"/>
    <n v="1563"/>
    <n v="0"/>
    <n v="0"/>
    <n v="0"/>
    <n v="0"/>
    <n v="0"/>
    <n v="0"/>
    <n v="0"/>
    <s v="MMR012CMP017"/>
    <s v="Open"/>
  </r>
  <r>
    <x v="3"/>
    <n v="2015"/>
    <d v="2015-11-18T00:00:00"/>
    <x v="1"/>
    <s v="LWF"/>
    <x v="0"/>
    <x v="1"/>
    <s v="Ba Wan Chaung Wa Su"/>
    <m/>
    <n v="21"/>
    <m/>
    <n v="42"/>
    <n v="21"/>
    <n v="42"/>
    <n v="21"/>
    <m/>
    <n v="21"/>
    <n v="21"/>
    <n v="105"/>
    <n v="0"/>
    <n v="21"/>
    <n v="0"/>
    <n v="42"/>
    <n v="21"/>
    <n v="42"/>
    <n v="21"/>
    <n v="0"/>
    <n v="21"/>
    <n v="21"/>
    <n v="262.5"/>
    <s v="MMR012CMP015"/>
    <s v="Open"/>
  </r>
  <r>
    <x v="4"/>
    <n v="2015"/>
    <d v="2015-01-06T00:00:00"/>
    <x v="3"/>
    <s v="UNHCR"/>
    <x v="0"/>
    <x v="2"/>
    <s v="Sin Thay Pyin (Zay Di Pyin)"/>
    <n v="16"/>
    <n v="16"/>
    <n v="16"/>
    <n v="32"/>
    <n v="0"/>
    <n v="32"/>
    <n v="8"/>
    <n v="0"/>
    <n v="16"/>
    <n v="16"/>
    <n v="40"/>
    <n v="16"/>
    <n v="16"/>
    <n v="16"/>
    <n v="32"/>
    <n v="0"/>
    <n v="32"/>
    <n v="8"/>
    <n v="0"/>
    <n v="16"/>
    <n v="16"/>
    <n v="100"/>
    <s v="MMR012CMP094"/>
    <s v="Open"/>
  </r>
  <r>
    <x v="5"/>
    <n v="2015"/>
    <d v="2015-10-08T00:00:00"/>
    <x v="3"/>
    <s v="LWF"/>
    <x v="0"/>
    <x v="0"/>
    <s v="Khaung Doke Khar "/>
    <m/>
    <m/>
    <m/>
    <n v="252"/>
    <n v="127"/>
    <n v="252"/>
    <n v="127"/>
    <m/>
    <n v="127"/>
    <n v="127"/>
    <n v="635"/>
    <n v="0"/>
    <n v="0"/>
    <n v="0"/>
    <n v="252"/>
    <n v="127"/>
    <n v="252"/>
    <n v="127"/>
    <n v="0"/>
    <n v="127"/>
    <n v="127"/>
    <n v="1587.5"/>
    <s v="MMR012CMP042"/>
    <s v="Open"/>
  </r>
  <r>
    <x v="5"/>
    <n v="2015"/>
    <d v="2015-10-08T00:00:00"/>
    <x v="1"/>
    <m/>
    <x v="0"/>
    <x v="0"/>
    <s v="Khaung Doke Khar "/>
    <m/>
    <m/>
    <m/>
    <s v="2"/>
    <n v="1"/>
    <s v="2"/>
    <s v="1"/>
    <m/>
    <s v="1"/>
    <m/>
    <s v="5"/>
    <n v="0"/>
    <n v="0"/>
    <n v="0"/>
    <n v="2"/>
    <n v="1"/>
    <n v="2"/>
    <n v="1"/>
    <n v="0"/>
    <n v="1"/>
    <n v="0"/>
    <n v="12.5"/>
    <s v="MMR012CMP042"/>
    <s v="Open"/>
  </r>
  <r>
    <x v="6"/>
    <n v="2015"/>
    <d v="2015-09-17T00:00:00"/>
    <x v="3"/>
    <s v="DRC"/>
    <x v="0"/>
    <x v="0"/>
    <s v="Say Tha Mar Gyi"/>
    <m/>
    <m/>
    <m/>
    <n v="730"/>
    <n v="365"/>
    <n v="730"/>
    <n v="365"/>
    <m/>
    <n v="365"/>
    <n v="365"/>
    <n v="1825"/>
    <n v="0"/>
    <n v="0"/>
    <n v="0"/>
    <n v="730"/>
    <n v="365"/>
    <n v="730"/>
    <n v="365"/>
    <n v="0"/>
    <n v="365"/>
    <n v="365"/>
    <n v="4562.5"/>
    <s v="MMR012CMP045"/>
    <s v="Open"/>
  </r>
  <r>
    <x v="7"/>
    <n v="2015"/>
    <d v="2015-08-12T00:00:00"/>
    <x v="3"/>
    <s v="DRC"/>
    <x v="0"/>
    <x v="0"/>
    <s v="Say Tha Mar Gyi"/>
    <m/>
    <n v="273"/>
    <m/>
    <n v="546"/>
    <n v="273"/>
    <n v="546"/>
    <n v="273"/>
    <m/>
    <n v="273"/>
    <n v="273"/>
    <n v="1365"/>
    <n v="0"/>
    <n v="273"/>
    <n v="0"/>
    <n v="546"/>
    <n v="273"/>
    <n v="546"/>
    <n v="273"/>
    <n v="0"/>
    <n v="273"/>
    <n v="273"/>
    <n v="3412.5"/>
    <s v="MMR012CMP045"/>
    <s v="Open"/>
  </r>
  <r>
    <x v="7"/>
    <n v="2015"/>
    <d v="2015-08-12T00:00:00"/>
    <x v="3"/>
    <s v="LWF"/>
    <x v="0"/>
    <x v="0"/>
    <s v="Basare"/>
    <m/>
    <n v="59"/>
    <m/>
    <n v="6"/>
    <n v="3"/>
    <n v="6"/>
    <n v="3"/>
    <m/>
    <n v="3"/>
    <n v="3"/>
    <n v="15"/>
    <n v="0"/>
    <n v="59"/>
    <n v="0"/>
    <n v="6"/>
    <n v="3"/>
    <n v="6"/>
    <n v="3"/>
    <n v="0"/>
    <n v="3"/>
    <n v="3"/>
    <n v="37.5"/>
    <s v="MMR012CMP039"/>
    <s v="Open"/>
  </r>
  <r>
    <x v="7"/>
    <n v="2015"/>
    <d v="2015-08-12T00:00:00"/>
    <x v="3"/>
    <s v="LWF"/>
    <x v="0"/>
    <x v="0"/>
    <s v="Khaung Doke Khar "/>
    <m/>
    <n v="160"/>
    <m/>
    <n v="96"/>
    <n v="48"/>
    <n v="96"/>
    <n v="48"/>
    <m/>
    <n v="48"/>
    <n v="48"/>
    <n v="240"/>
    <n v="0"/>
    <n v="160"/>
    <n v="0"/>
    <n v="96"/>
    <n v="48"/>
    <n v="96"/>
    <n v="48"/>
    <n v="0"/>
    <n v="48"/>
    <n v="48"/>
    <n v="600"/>
    <s v="MMR012CMP042"/>
    <s v="Open"/>
  </r>
  <r>
    <x v="8"/>
    <n v="2015"/>
    <d v="2015-08-08T00:00:00"/>
    <x v="3"/>
    <s v="Save the Children"/>
    <x v="0"/>
    <x v="1"/>
    <s v="Kyein Ni Pyin"/>
    <m/>
    <m/>
    <m/>
    <n v="62"/>
    <n v="31"/>
    <n v="62"/>
    <n v="31"/>
    <m/>
    <n v="31"/>
    <n v="31"/>
    <n v="155"/>
    <n v="0"/>
    <n v="0"/>
    <n v="0"/>
    <n v="62"/>
    <n v="31"/>
    <n v="62"/>
    <n v="31"/>
    <n v="0"/>
    <n v="31"/>
    <n v="31"/>
    <n v="387.5"/>
    <s v="MMR012CMP018"/>
    <s v="Open"/>
  </r>
  <r>
    <x v="4"/>
    <n v="2015"/>
    <d v="2015-01-06T00:00:00"/>
    <x v="3"/>
    <s v="UNHCR"/>
    <x v="0"/>
    <x v="2"/>
    <s v="Ywa thit Kay"/>
    <n v="36"/>
    <n v="36"/>
    <n v="36"/>
    <n v="72"/>
    <n v="0"/>
    <n v="72"/>
    <n v="19"/>
    <n v="0"/>
    <n v="36"/>
    <n v="36"/>
    <n v="95"/>
    <n v="36"/>
    <n v="36"/>
    <n v="36"/>
    <n v="72"/>
    <n v="0"/>
    <n v="72"/>
    <n v="19"/>
    <n v="0"/>
    <n v="36"/>
    <n v="36"/>
    <n v="237.5"/>
    <s v="MMR012CMP085"/>
    <s v="Open"/>
  </r>
  <r>
    <x v="9"/>
    <n v="2015"/>
    <d v="2015-07-24T00:00:00"/>
    <x v="3"/>
    <s v="Save the Children"/>
    <x v="0"/>
    <x v="0"/>
    <s v="Thet Kae Pyin "/>
    <m/>
    <n v="984"/>
    <m/>
    <n v="1968"/>
    <n v="984"/>
    <n v="1968"/>
    <n v="984"/>
    <m/>
    <n v="984"/>
    <n v="984"/>
    <n v="4920"/>
    <n v="0"/>
    <n v="984"/>
    <n v="0"/>
    <n v="1968"/>
    <n v="984"/>
    <n v="1968"/>
    <n v="984"/>
    <n v="0"/>
    <n v="984"/>
    <n v="984"/>
    <n v="12300"/>
    <s v="MMR012CMP048"/>
    <s v="Open"/>
  </r>
  <r>
    <x v="4"/>
    <n v="2015"/>
    <d v="2015-01-06T00:00:00"/>
    <x v="3"/>
    <s v="UNHCR"/>
    <x v="0"/>
    <x v="2"/>
    <s v="(Du) Chee Yar Tan (East)"/>
    <n v="39"/>
    <n v="39"/>
    <n v="39"/>
    <n v="78"/>
    <n v="0"/>
    <n v="78"/>
    <n v="28"/>
    <n v="0"/>
    <n v="39"/>
    <n v="39"/>
    <n v="40"/>
    <n v="39"/>
    <n v="39"/>
    <n v="39"/>
    <n v="78"/>
    <n v="0"/>
    <n v="78"/>
    <n v="28"/>
    <n v="0"/>
    <n v="39"/>
    <n v="39"/>
    <n v="100"/>
    <s v=""/>
    <s v=""/>
  </r>
  <r>
    <x v="10"/>
    <n v="2015"/>
    <d v="2015-03-05T00:00:00"/>
    <x v="3"/>
    <s v="UNHCR"/>
    <x v="0"/>
    <x v="2"/>
    <s v="Bomu Ywa"/>
    <n v="0"/>
    <n v="43"/>
    <n v="43"/>
    <n v="86"/>
    <n v="0"/>
    <n v="86"/>
    <n v="33"/>
    <n v="0"/>
    <n v="43"/>
    <n v="43"/>
    <n v="165"/>
    <n v="0"/>
    <n v="43"/>
    <n v="43"/>
    <n v="86"/>
    <n v="0"/>
    <n v="86"/>
    <n v="33"/>
    <n v="0"/>
    <n v="43"/>
    <n v="43"/>
    <n v="412.5"/>
    <s v="MMR012CMP084"/>
    <s v="Open"/>
  </r>
  <r>
    <x v="11"/>
    <n v="2015"/>
    <d v="2015-07-09T00:00:00"/>
    <x v="3"/>
    <s v="Save the Children"/>
    <x v="0"/>
    <x v="0"/>
    <s v="Maw Ti Ngar"/>
    <m/>
    <n v="624"/>
    <m/>
    <n v="1248"/>
    <n v="624"/>
    <n v="1248"/>
    <n v="624"/>
    <m/>
    <n v="624"/>
    <n v="624"/>
    <n v="3120"/>
    <n v="0"/>
    <n v="624"/>
    <n v="0"/>
    <n v="1248"/>
    <n v="624"/>
    <n v="1248"/>
    <n v="624"/>
    <n v="0"/>
    <n v="624"/>
    <n v="624"/>
    <n v="7800"/>
    <s v="MMR012CMP092"/>
    <s v="Open"/>
  </r>
  <r>
    <x v="12"/>
    <n v="2015"/>
    <d v="2015-06-26T00:00:00"/>
    <x v="3"/>
    <s v="UNHCR"/>
    <x v="0"/>
    <x v="3"/>
    <s v="Yun Nyar"/>
    <m/>
    <m/>
    <m/>
    <m/>
    <n v="112"/>
    <m/>
    <m/>
    <m/>
    <m/>
    <m/>
    <m/>
    <n v="0"/>
    <n v="0"/>
    <n v="0"/>
    <n v="0"/>
    <n v="112"/>
    <n v="0"/>
    <n v="0"/>
    <n v="0"/>
    <n v="0"/>
    <n v="0"/>
    <n v="0"/>
    <s v="MMR012CMP028"/>
    <s v="Open"/>
  </r>
  <r>
    <x v="12"/>
    <n v="2015"/>
    <d v="2015-06-26T00:00:00"/>
    <x v="3"/>
    <s v="UNHCR"/>
    <x v="0"/>
    <x v="3"/>
    <s v="Shwe Hlaing"/>
    <m/>
    <m/>
    <m/>
    <m/>
    <n v="138"/>
    <m/>
    <m/>
    <m/>
    <m/>
    <m/>
    <m/>
    <n v="0"/>
    <n v="0"/>
    <n v="0"/>
    <n v="0"/>
    <n v="138"/>
    <n v="0"/>
    <n v="0"/>
    <n v="0"/>
    <n v="0"/>
    <n v="0"/>
    <n v="0"/>
    <s v="MMR012CMP029"/>
    <s v="Open"/>
  </r>
  <r>
    <x v="13"/>
    <n v="2015"/>
    <d v="2015-06-25T00:00:00"/>
    <x v="3"/>
    <s v="UNHCR"/>
    <x v="0"/>
    <x v="3"/>
    <s v="Nidin"/>
    <m/>
    <m/>
    <m/>
    <m/>
    <n v="85"/>
    <m/>
    <m/>
    <m/>
    <m/>
    <m/>
    <m/>
    <n v="0"/>
    <n v="0"/>
    <n v="0"/>
    <n v="0"/>
    <n v="85"/>
    <n v="0"/>
    <n v="0"/>
    <n v="0"/>
    <n v="0"/>
    <n v="0"/>
    <n v="0"/>
    <s v="MMR012CMP023"/>
    <s v="Open"/>
  </r>
  <r>
    <x v="13"/>
    <n v="2015"/>
    <d v="2015-06-25T00:00:00"/>
    <x v="3"/>
    <s v="UNHCR"/>
    <x v="0"/>
    <x v="3"/>
    <s v="Khaung Htoke"/>
    <m/>
    <m/>
    <m/>
    <m/>
    <n v="97"/>
    <m/>
    <m/>
    <m/>
    <m/>
    <m/>
    <m/>
    <n v="0"/>
    <n v="0"/>
    <n v="0"/>
    <n v="0"/>
    <n v="97"/>
    <n v="0"/>
    <n v="0"/>
    <n v="0"/>
    <n v="0"/>
    <n v="0"/>
    <n v="0"/>
    <s v="MMR012CMP030"/>
    <s v="Open"/>
  </r>
  <r>
    <x v="14"/>
    <n v="2015"/>
    <d v="2015-06-24T00:00:00"/>
    <x v="3"/>
    <s v="UNHCR"/>
    <x v="0"/>
    <x v="3"/>
    <s v="In Bar Yi"/>
    <m/>
    <m/>
    <m/>
    <m/>
    <n v="236"/>
    <m/>
    <m/>
    <m/>
    <m/>
    <m/>
    <m/>
    <n v="0"/>
    <n v="0"/>
    <n v="0"/>
    <n v="0"/>
    <n v="236"/>
    <n v="0"/>
    <n v="0"/>
    <n v="0"/>
    <n v="0"/>
    <n v="0"/>
    <n v="0"/>
    <s v="MMR012CMP026"/>
    <s v="Open"/>
  </r>
  <r>
    <x v="14"/>
    <n v="2015"/>
    <d v="2015-06-24T00:00:00"/>
    <x v="3"/>
    <s v="UNHCR"/>
    <x v="0"/>
    <x v="3"/>
    <s v="Ah Pauk Wa "/>
    <m/>
    <m/>
    <m/>
    <m/>
    <n v="92"/>
    <m/>
    <m/>
    <m/>
    <m/>
    <m/>
    <m/>
    <n v="0"/>
    <n v="0"/>
    <n v="0"/>
    <n v="0"/>
    <n v="92"/>
    <n v="0"/>
    <n v="0"/>
    <n v="0"/>
    <n v="0"/>
    <n v="0"/>
    <n v="0"/>
    <s v="MMR012CMP024"/>
    <s v="Open"/>
  </r>
  <r>
    <x v="14"/>
    <n v="2015"/>
    <d v="2015-06-24T00:00:00"/>
    <x v="3"/>
    <s v="UNHCR"/>
    <x v="0"/>
    <x v="3"/>
    <s v="Goke Pi Htaunt"/>
    <m/>
    <m/>
    <m/>
    <m/>
    <n v="116"/>
    <m/>
    <m/>
    <m/>
    <m/>
    <m/>
    <m/>
    <n v="0"/>
    <n v="0"/>
    <n v="0"/>
    <n v="0"/>
    <n v="116"/>
    <n v="0"/>
    <n v="0"/>
    <n v="0"/>
    <n v="0"/>
    <n v="0"/>
    <n v="0"/>
    <s v="MMR012CMP027"/>
    <s v="Open"/>
  </r>
  <r>
    <x v="15"/>
    <n v="2015"/>
    <d v="2015-06-23T00:00:00"/>
    <x v="3"/>
    <s v="UNHCR"/>
    <x v="0"/>
    <x v="4"/>
    <s v="Tha Dar"/>
    <m/>
    <m/>
    <m/>
    <m/>
    <n v="16"/>
    <m/>
    <m/>
    <m/>
    <m/>
    <m/>
    <m/>
    <n v="0"/>
    <n v="0"/>
    <n v="0"/>
    <n v="0"/>
    <n v="16"/>
    <n v="0"/>
    <n v="0"/>
    <n v="0"/>
    <n v="0"/>
    <n v="0"/>
    <n v="0"/>
    <s v="MMR012CMP002"/>
    <s v="Open"/>
  </r>
  <r>
    <x v="16"/>
    <n v="2015"/>
    <d v="2015-06-11T00:00:00"/>
    <x v="3"/>
    <s v="UNHCR"/>
    <x v="0"/>
    <x v="4"/>
    <s v="Tha Dar"/>
    <m/>
    <m/>
    <m/>
    <m/>
    <n v="187"/>
    <m/>
    <m/>
    <m/>
    <m/>
    <m/>
    <m/>
    <n v="0"/>
    <n v="0"/>
    <n v="0"/>
    <n v="0"/>
    <n v="187"/>
    <n v="0"/>
    <n v="0"/>
    <n v="0"/>
    <n v="0"/>
    <n v="0"/>
    <n v="0"/>
    <s v="MMR012CMP002"/>
    <s v="Open"/>
  </r>
  <r>
    <x v="16"/>
    <n v="2015"/>
    <d v="2015-06-11T00:00:00"/>
    <x v="3"/>
    <s v="UNHCR"/>
    <x v="0"/>
    <x v="4"/>
    <s v="San Htoe Tan"/>
    <m/>
    <m/>
    <m/>
    <m/>
    <n v="90"/>
    <m/>
    <m/>
    <m/>
    <m/>
    <m/>
    <m/>
    <n v="0"/>
    <n v="0"/>
    <n v="0"/>
    <n v="0"/>
    <n v="90"/>
    <n v="0"/>
    <n v="0"/>
    <n v="0"/>
    <n v="0"/>
    <n v="0"/>
    <n v="0"/>
    <s v="MMR012CMP003"/>
    <s v="Open"/>
  </r>
  <r>
    <x v="16"/>
    <n v="2015"/>
    <d v="2015-06-11T00:00:00"/>
    <x v="3"/>
    <s v="UNHCR"/>
    <x v="0"/>
    <x v="4"/>
    <s v="Aung Taing"/>
    <m/>
    <m/>
    <m/>
    <m/>
    <n v="86"/>
    <m/>
    <m/>
    <m/>
    <m/>
    <m/>
    <m/>
    <n v="0"/>
    <n v="0"/>
    <n v="0"/>
    <n v="0"/>
    <n v="86"/>
    <n v="0"/>
    <n v="0"/>
    <n v="0"/>
    <n v="0"/>
    <n v="0"/>
    <n v="0"/>
    <s v="MMR012CMP006"/>
    <s v="Open"/>
  </r>
  <r>
    <x v="16"/>
    <n v="2015"/>
    <d v="2015-06-11T00:00:00"/>
    <x v="3"/>
    <s v="UNHCR"/>
    <x v="0"/>
    <x v="4"/>
    <s v="Sam Ba Le"/>
    <m/>
    <m/>
    <m/>
    <m/>
    <n v="225"/>
    <m/>
    <m/>
    <m/>
    <m/>
    <m/>
    <m/>
    <n v="0"/>
    <n v="0"/>
    <n v="0"/>
    <n v="0"/>
    <n v="225"/>
    <n v="0"/>
    <n v="0"/>
    <n v="0"/>
    <n v="0"/>
    <n v="0"/>
    <n v="0"/>
    <s v="MMR012CMP008"/>
    <s v="Open"/>
  </r>
  <r>
    <x v="17"/>
    <n v="2015"/>
    <d v="2015-06-10T00:00:00"/>
    <x v="3"/>
    <s v="UNHCR"/>
    <x v="0"/>
    <x v="5"/>
    <s v="Pa Rein"/>
    <m/>
    <m/>
    <m/>
    <m/>
    <n v="56"/>
    <m/>
    <m/>
    <m/>
    <m/>
    <m/>
    <m/>
    <n v="0"/>
    <n v="0"/>
    <n v="0"/>
    <n v="0"/>
    <n v="56"/>
    <n v="0"/>
    <n v="0"/>
    <n v="0"/>
    <n v="0"/>
    <n v="0"/>
    <n v="0"/>
    <s v="MMR012CMP009"/>
    <s v="Open"/>
  </r>
  <r>
    <x v="17"/>
    <n v="2015"/>
    <d v="2015-06-10T00:00:00"/>
    <x v="3"/>
    <s v="UNHCR"/>
    <x v="0"/>
    <x v="5"/>
    <s v="Yai Thei-Muslim"/>
    <m/>
    <m/>
    <m/>
    <m/>
    <n v="55"/>
    <m/>
    <m/>
    <m/>
    <m/>
    <m/>
    <m/>
    <n v="0"/>
    <n v="0"/>
    <n v="0"/>
    <n v="0"/>
    <n v="55"/>
    <n v="0"/>
    <n v="0"/>
    <n v="0"/>
    <n v="0"/>
    <n v="0"/>
    <n v="0"/>
    <s v="MMR012CMP010"/>
    <s v="Open"/>
  </r>
  <r>
    <x v="17"/>
    <n v="2015"/>
    <d v="2015-06-10T00:00:00"/>
    <x v="3"/>
    <s v="UNHCR"/>
    <x v="0"/>
    <x v="4"/>
    <s v="Tha Yet Oak"/>
    <m/>
    <m/>
    <m/>
    <m/>
    <n v="275"/>
    <m/>
    <m/>
    <m/>
    <m/>
    <m/>
    <m/>
    <n v="0"/>
    <n v="0"/>
    <n v="0"/>
    <n v="0"/>
    <n v="275"/>
    <n v="0"/>
    <n v="0"/>
    <n v="0"/>
    <n v="0"/>
    <n v="0"/>
    <n v="0"/>
    <s v="MMR012CMP005"/>
    <s v="Open"/>
  </r>
  <r>
    <x v="18"/>
    <n v="2015"/>
    <d v="2015-05-20T00:00:00"/>
    <x v="3"/>
    <s v="DRC"/>
    <x v="0"/>
    <x v="0"/>
    <s v="Ohn Taw Chay"/>
    <n v="0"/>
    <n v="140"/>
    <n v="0"/>
    <n v="1298"/>
    <n v="649"/>
    <n v="1298"/>
    <n v="649"/>
    <n v="509"/>
    <n v="649"/>
    <n v="649"/>
    <n v="3245"/>
    <n v="0"/>
    <n v="140"/>
    <n v="0"/>
    <n v="1298"/>
    <n v="649"/>
    <n v="1298"/>
    <n v="649"/>
    <n v="509"/>
    <n v="649"/>
    <n v="649"/>
    <n v="8112.5"/>
    <s v="MMR012CMP098"/>
    <s v="Open"/>
  </r>
  <r>
    <x v="19"/>
    <n v="2015"/>
    <d v="2015-05-12T00:00:00"/>
    <x v="3"/>
    <s v="Save the Children"/>
    <x v="0"/>
    <x v="0"/>
    <s v="Sat Roe Kya 1"/>
    <n v="0"/>
    <m/>
    <n v="0"/>
    <n v="498"/>
    <n v="249"/>
    <n v="498"/>
    <n v="249"/>
    <n v="0"/>
    <n v="249"/>
    <n v="249"/>
    <n v="1245"/>
    <n v="0"/>
    <n v="0"/>
    <n v="0"/>
    <n v="498"/>
    <n v="249"/>
    <n v="498"/>
    <n v="249"/>
    <n v="0"/>
    <n v="249"/>
    <n v="249"/>
    <n v="3112.5"/>
    <s v="MMR012CMP111"/>
    <s v="Open"/>
  </r>
  <r>
    <x v="20"/>
    <n v="2015"/>
    <d v="2015-05-07T00:00:00"/>
    <x v="3"/>
    <s v="LWF"/>
    <x v="0"/>
    <x v="0"/>
    <s v="Thae Chaung"/>
    <m/>
    <n v="2145"/>
    <m/>
    <n v="4290"/>
    <n v="2145"/>
    <n v="4290"/>
    <n v="2145"/>
    <m/>
    <n v="2145"/>
    <n v="2145"/>
    <n v="10725"/>
    <n v="0"/>
    <n v="2145"/>
    <n v="0"/>
    <n v="4290"/>
    <n v="2145"/>
    <n v="4290"/>
    <n v="2145"/>
    <n v="0"/>
    <n v="2145"/>
    <n v="2145"/>
    <n v="26812.5"/>
    <s v="MMR012CMP046"/>
    <s v="Open"/>
  </r>
  <r>
    <x v="21"/>
    <n v="2015"/>
    <d v="2015-05-06T00:00:00"/>
    <x v="4"/>
    <s v="DRC"/>
    <x v="0"/>
    <x v="0"/>
    <s v="Dar Pai"/>
    <n v="0"/>
    <n v="1364"/>
    <n v="0"/>
    <n v="2728"/>
    <n v="1364"/>
    <n v="2728"/>
    <n v="1364"/>
    <n v="0"/>
    <n v="1364"/>
    <n v="1364"/>
    <n v="6820"/>
    <n v="0"/>
    <n v="1364"/>
    <n v="0"/>
    <n v="2728"/>
    <n v="1364"/>
    <n v="2728"/>
    <n v="1364"/>
    <n v="0"/>
    <n v="1364"/>
    <n v="1364"/>
    <n v="17050"/>
    <s v="MMR012CMP041"/>
    <s v="Open"/>
  </r>
  <r>
    <x v="22"/>
    <n v="2015"/>
    <d v="2015-04-27T00:00:00"/>
    <x v="3"/>
    <s v="UNHCR"/>
    <x v="0"/>
    <x v="0"/>
    <s v="Sat Roe Kya 2"/>
    <n v="0"/>
    <m/>
    <n v="0"/>
    <n v="836"/>
    <n v="418"/>
    <n v="836"/>
    <n v="418"/>
    <n v="0"/>
    <n v="418"/>
    <n v="418"/>
    <n v="2090"/>
    <n v="0"/>
    <n v="0"/>
    <n v="0"/>
    <n v="836"/>
    <n v="418"/>
    <n v="836"/>
    <n v="418"/>
    <n v="0"/>
    <n v="418"/>
    <n v="418"/>
    <n v="5225"/>
    <s v="MMR012CMP112"/>
    <s v="Open"/>
  </r>
  <r>
    <x v="22"/>
    <n v="2015"/>
    <d v="2015-04-27T00:00:00"/>
    <x v="3"/>
    <s v="LWF"/>
    <x v="0"/>
    <x v="0"/>
    <s v="Set Yone Su"/>
    <m/>
    <n v="72"/>
    <m/>
    <n v="144"/>
    <n v="72"/>
    <n v="144"/>
    <n v="72"/>
    <m/>
    <n v="72"/>
    <n v="72"/>
    <n v="360"/>
    <n v="0"/>
    <n v="72"/>
    <n v="0"/>
    <n v="144"/>
    <n v="72"/>
    <n v="144"/>
    <n v="72"/>
    <n v="0"/>
    <n v="72"/>
    <n v="72"/>
    <n v="900"/>
    <s v="MMR012CMP056"/>
    <s v="Open"/>
  </r>
  <r>
    <x v="22"/>
    <n v="2015"/>
    <d v="2015-04-27T00:00:00"/>
    <x v="3"/>
    <s v="LWF"/>
    <x v="0"/>
    <x v="0"/>
    <s v="Set Yone Su 3"/>
    <m/>
    <n v="151"/>
    <m/>
    <n v="302"/>
    <n v="151"/>
    <n v="302"/>
    <n v="151"/>
    <m/>
    <n v="151"/>
    <n v="151"/>
    <n v="755"/>
    <n v="0"/>
    <n v="151"/>
    <n v="0"/>
    <n v="302"/>
    <n v="151"/>
    <n v="302"/>
    <n v="151"/>
    <n v="0"/>
    <n v="151"/>
    <n v="151"/>
    <n v="1887.5"/>
    <s v="MMR012CMP093"/>
    <s v="Open"/>
  </r>
  <r>
    <x v="23"/>
    <n v="2015"/>
    <d v="2015-03-15T00:00:00"/>
    <x v="5"/>
    <s v="Save the Children"/>
    <x v="0"/>
    <x v="0"/>
    <s v="Thet Kae Pyin "/>
    <n v="1020"/>
    <m/>
    <m/>
    <m/>
    <m/>
    <m/>
    <m/>
    <m/>
    <m/>
    <m/>
    <m/>
    <n v="1020"/>
    <n v="0"/>
    <n v="0"/>
    <n v="0"/>
    <n v="0"/>
    <n v="0"/>
    <n v="0"/>
    <n v="0"/>
    <n v="0"/>
    <n v="0"/>
    <n v="0"/>
    <s v="MMR012CMP048"/>
    <s v="Open"/>
  </r>
  <r>
    <x v="24"/>
    <n v="2015"/>
    <d v="2015-01-21T00:00:00"/>
    <x v="3"/>
    <s v="UNHCR"/>
    <x v="0"/>
    <x v="6"/>
    <s v="Chein Khar Li"/>
    <n v="0"/>
    <n v="0"/>
    <n v="0"/>
    <n v="0"/>
    <n v="0"/>
    <n v="700"/>
    <n v="0"/>
    <n v="0"/>
    <n v="350"/>
    <n v="0"/>
    <n v="1120"/>
    <n v="41"/>
    <n v="0"/>
    <n v="0"/>
    <n v="0"/>
    <n v="0"/>
    <n v="700"/>
    <n v="0"/>
    <n v="0"/>
    <n v="350"/>
    <n v="0"/>
    <n v="2800"/>
    <s v="MMR012CMP033"/>
    <s v="Open"/>
  </r>
  <r>
    <x v="25"/>
    <n v="2015"/>
    <d v="2015-03-01T00:00:00"/>
    <x v="6"/>
    <s v="RI"/>
    <x v="0"/>
    <x v="7"/>
    <s v="Kan Thar Htwat Wa"/>
    <n v="42"/>
    <m/>
    <m/>
    <m/>
    <m/>
    <m/>
    <m/>
    <m/>
    <m/>
    <m/>
    <m/>
    <n v="42"/>
    <n v="0"/>
    <n v="0"/>
    <n v="0"/>
    <n v="0"/>
    <n v="0"/>
    <n v="0"/>
    <n v="0"/>
    <n v="0"/>
    <n v="0"/>
    <n v="0"/>
    <s v="MMR012CMP013"/>
    <s v="Open"/>
  </r>
  <r>
    <x v="25"/>
    <n v="2015"/>
    <d v="2015-03-01T00:00:00"/>
    <x v="6"/>
    <s v="RI"/>
    <x v="0"/>
    <x v="7"/>
    <s v="Taung Paw "/>
    <n v="682"/>
    <m/>
    <m/>
    <m/>
    <m/>
    <m/>
    <m/>
    <m/>
    <m/>
    <m/>
    <m/>
    <n v="682"/>
    <n v="0"/>
    <n v="0"/>
    <n v="0"/>
    <n v="0"/>
    <n v="0"/>
    <n v="0"/>
    <n v="0"/>
    <n v="0"/>
    <n v="0"/>
    <n v="0"/>
    <s v="MMR012CMP014"/>
    <s v="Open"/>
  </r>
  <r>
    <x v="26"/>
    <n v="2015"/>
    <d v="2015-02-20T00:00:00"/>
    <x v="7"/>
    <s v="CDN"/>
    <x v="0"/>
    <x v="0"/>
    <s v="Sat Roe Kya 1"/>
    <n v="249"/>
    <m/>
    <m/>
    <m/>
    <m/>
    <m/>
    <m/>
    <m/>
    <m/>
    <m/>
    <m/>
    <n v="249"/>
    <n v="0"/>
    <n v="0"/>
    <n v="0"/>
    <n v="0"/>
    <n v="0"/>
    <n v="0"/>
    <n v="0"/>
    <n v="0"/>
    <n v="0"/>
    <n v="0"/>
    <s v="MMR012CMP111"/>
    <s v="Open"/>
  </r>
  <r>
    <x v="27"/>
    <n v="2015"/>
    <d v="2015-02-01T00:00:00"/>
    <x v="6"/>
    <s v="RI"/>
    <x v="0"/>
    <x v="7"/>
    <s v="Kan Thar Htwat Wa"/>
    <n v="42"/>
    <m/>
    <m/>
    <m/>
    <m/>
    <m/>
    <m/>
    <m/>
    <m/>
    <m/>
    <m/>
    <n v="42"/>
    <n v="0"/>
    <n v="0"/>
    <n v="0"/>
    <n v="0"/>
    <n v="0"/>
    <n v="0"/>
    <n v="0"/>
    <n v="0"/>
    <n v="0"/>
    <n v="0"/>
    <s v="MMR012CMP013"/>
    <s v="Open"/>
  </r>
  <r>
    <x v="27"/>
    <n v="2015"/>
    <d v="2015-02-01T00:00:00"/>
    <x v="6"/>
    <s v="RI"/>
    <x v="0"/>
    <x v="7"/>
    <s v="Taung Paw "/>
    <n v="682"/>
    <m/>
    <m/>
    <m/>
    <m/>
    <m/>
    <m/>
    <m/>
    <m/>
    <m/>
    <m/>
    <n v="682"/>
    <n v="0"/>
    <n v="0"/>
    <n v="0"/>
    <n v="0"/>
    <n v="0"/>
    <n v="0"/>
    <n v="0"/>
    <n v="0"/>
    <n v="0"/>
    <n v="0"/>
    <s v="MMR012CMP014"/>
    <s v="Open"/>
  </r>
  <r>
    <x v="28"/>
    <n v="2015"/>
    <d v="2015-01-29T00:00:00"/>
    <x v="3"/>
    <s v="UNHCR"/>
    <x v="0"/>
    <x v="1"/>
    <s v="Kyein Ni Pyin"/>
    <m/>
    <n v="101"/>
    <m/>
    <n v="1888"/>
    <n v="944"/>
    <n v="1888"/>
    <n v="944"/>
    <m/>
    <n v="944"/>
    <n v="944"/>
    <n v="4720"/>
    <n v="0"/>
    <n v="101"/>
    <n v="0"/>
    <n v="1888"/>
    <n v="944"/>
    <n v="1888"/>
    <n v="944"/>
    <n v="0"/>
    <n v="944"/>
    <n v="944"/>
    <n v="11800"/>
    <s v="MMR012CMP018"/>
    <s v="Open"/>
  </r>
  <r>
    <x v="24"/>
    <n v="2015"/>
    <d v="2015-01-21T00:00:00"/>
    <x v="3"/>
    <s v="UNHCR"/>
    <x v="0"/>
    <x v="6"/>
    <s v="Koe Tan Kauk"/>
    <n v="0"/>
    <n v="0"/>
    <n v="0"/>
    <n v="0"/>
    <n v="0"/>
    <n v="534"/>
    <n v="0"/>
    <n v="0"/>
    <n v="267"/>
    <m/>
    <n v="1010"/>
    <n v="0"/>
    <n v="0"/>
    <n v="0"/>
    <n v="0"/>
    <n v="0"/>
    <n v="534"/>
    <n v="0"/>
    <n v="0"/>
    <n v="267"/>
    <n v="0"/>
    <n v="2525"/>
    <s v="MMR012CMP110"/>
    <s v="Open"/>
  </r>
  <r>
    <x v="29"/>
    <n v="2015"/>
    <d v="2015-05-05T00:00:00"/>
    <x v="3"/>
    <s v="UNHCR"/>
    <x v="0"/>
    <x v="6"/>
    <s v="Chein Khar Li"/>
    <n v="0"/>
    <n v="7"/>
    <n v="7"/>
    <n v="14"/>
    <n v="5"/>
    <n v="14"/>
    <n v="5"/>
    <n v="0"/>
    <n v="7"/>
    <n v="7"/>
    <n v="21"/>
    <n v="0"/>
    <n v="7"/>
    <n v="7"/>
    <n v="14"/>
    <n v="5"/>
    <n v="14"/>
    <n v="5"/>
    <n v="0"/>
    <n v="7"/>
    <n v="7"/>
    <n v="52.5"/>
    <s v="MMR012CMP033"/>
    <s v="Open"/>
  </r>
  <r>
    <x v="30"/>
    <n v="2015"/>
    <d v="2015-06-15T00:00:00"/>
    <x v="3"/>
    <s v="CFSI"/>
    <x v="0"/>
    <x v="6"/>
    <s v="Koe Tan Kauk"/>
    <n v="0"/>
    <n v="0"/>
    <n v="0"/>
    <n v="0"/>
    <n v="10"/>
    <n v="0"/>
    <n v="0"/>
    <n v="0"/>
    <n v="0"/>
    <n v="0"/>
    <n v="0"/>
    <n v="0"/>
    <n v="0"/>
    <n v="0"/>
    <n v="0"/>
    <n v="10"/>
    <n v="0"/>
    <n v="0"/>
    <n v="0"/>
    <n v="0"/>
    <n v="0"/>
    <n v="0"/>
    <s v="MMR012CMP110"/>
    <s v="Open"/>
  </r>
  <r>
    <x v="30"/>
    <n v="2015"/>
    <d v="2015-06-15T00:00:00"/>
    <x v="3"/>
    <s v="CFSI"/>
    <x v="0"/>
    <x v="6"/>
    <s v="Chein Khar Li"/>
    <n v="0"/>
    <n v="0"/>
    <n v="0"/>
    <n v="0"/>
    <n v="20"/>
    <n v="0"/>
    <n v="0"/>
    <n v="0"/>
    <n v="0"/>
    <n v="0"/>
    <n v="0"/>
    <n v="0"/>
    <n v="0"/>
    <n v="0"/>
    <n v="0"/>
    <n v="20"/>
    <n v="0"/>
    <n v="0"/>
    <n v="0"/>
    <n v="0"/>
    <n v="0"/>
    <n v="0"/>
    <s v="MMR012CMP033"/>
    <s v="Open"/>
  </r>
  <r>
    <x v="31"/>
    <n v="2015"/>
    <d v="2015-01-01T00:00:00"/>
    <x v="6"/>
    <s v="RI"/>
    <x v="0"/>
    <x v="7"/>
    <s v="Kan Thar Htwat Wa"/>
    <n v="42"/>
    <m/>
    <m/>
    <m/>
    <m/>
    <m/>
    <m/>
    <m/>
    <m/>
    <m/>
    <m/>
    <n v="42"/>
    <n v="0"/>
    <n v="0"/>
    <n v="0"/>
    <n v="0"/>
    <n v="0"/>
    <n v="0"/>
    <n v="0"/>
    <n v="0"/>
    <n v="0"/>
    <n v="0"/>
    <s v="MMR012CMP013"/>
    <s v="Open"/>
  </r>
  <r>
    <x v="31"/>
    <n v="2015"/>
    <d v="2015-01-01T00:00:00"/>
    <x v="6"/>
    <s v="RI"/>
    <x v="0"/>
    <x v="7"/>
    <s v="Taung Paw "/>
    <n v="682"/>
    <m/>
    <m/>
    <m/>
    <m/>
    <m/>
    <m/>
    <m/>
    <m/>
    <m/>
    <m/>
    <n v="682"/>
    <n v="0"/>
    <n v="0"/>
    <n v="0"/>
    <n v="0"/>
    <n v="0"/>
    <n v="0"/>
    <n v="0"/>
    <n v="0"/>
    <n v="0"/>
    <n v="0"/>
    <s v="MMR012CMP014"/>
    <s v="Open"/>
  </r>
  <r>
    <x v="32"/>
    <n v="2014"/>
    <d v="2014-12-23T00:00:00"/>
    <x v="3"/>
    <s v="UNHCR"/>
    <x v="0"/>
    <x v="2"/>
    <s v="Nyaung Pin Hla"/>
    <n v="27"/>
    <n v="27"/>
    <n v="27"/>
    <n v="54"/>
    <n v="0"/>
    <n v="54"/>
    <n v="17"/>
    <n v="0"/>
    <n v="27"/>
    <m/>
    <n v="85"/>
    <n v="27"/>
    <n v="27"/>
    <n v="27"/>
    <n v="54"/>
    <n v="0"/>
    <n v="54"/>
    <n v="17"/>
    <n v="0"/>
    <n v="27"/>
    <n v="0"/>
    <n v="212.5"/>
    <s v="MMR012CMP082"/>
    <s v="Open"/>
  </r>
  <r>
    <x v="33"/>
    <n v="2014"/>
    <d v="2014-12-18T00:00:00"/>
    <x v="3"/>
    <s v="UNHCR"/>
    <x v="0"/>
    <x v="2"/>
    <s v="Thaung Paing Nyar"/>
    <n v="108"/>
    <n v="108"/>
    <n v="108"/>
    <n v="216"/>
    <n v="0"/>
    <n v="216"/>
    <n v="68"/>
    <n v="0"/>
    <n v="108"/>
    <m/>
    <n v="340"/>
    <n v="108"/>
    <n v="108"/>
    <n v="108"/>
    <n v="216"/>
    <n v="0"/>
    <n v="216"/>
    <n v="68"/>
    <n v="0"/>
    <n v="108"/>
    <n v="0"/>
    <n v="850"/>
    <s v="MMR012CMP086"/>
    <s v="Open"/>
  </r>
  <r>
    <x v="33"/>
    <n v="2014"/>
    <d v="2014-12-18T00:00:00"/>
    <x v="3"/>
    <s v="UNHCR"/>
    <x v="0"/>
    <x v="2"/>
    <s v="Ward-6 (Lay Myaing)"/>
    <n v="164"/>
    <n v="164"/>
    <n v="164"/>
    <n v="328"/>
    <n v="0"/>
    <n v="328"/>
    <n v="92"/>
    <n v="0"/>
    <n v="164"/>
    <m/>
    <n v="460"/>
    <n v="164"/>
    <n v="164"/>
    <n v="164"/>
    <n v="328"/>
    <n v="0"/>
    <n v="328"/>
    <n v="92"/>
    <n v="0"/>
    <n v="164"/>
    <n v="0"/>
    <n v="1150"/>
    <s v="MMR012CMP095"/>
    <s v="Open"/>
  </r>
  <r>
    <x v="34"/>
    <n v="2014"/>
    <d v="2014-12-17T00:00:00"/>
    <x v="3"/>
    <s v="UNHCR"/>
    <x v="0"/>
    <x v="2"/>
    <s v="Myoma Myauk (Chitta Ywa)"/>
    <n v="315"/>
    <n v="315"/>
    <n v="315"/>
    <n v="630"/>
    <n v="0"/>
    <n v="630"/>
    <n v="186"/>
    <n v="0"/>
    <n v="315"/>
    <m/>
    <n v="930"/>
    <n v="315"/>
    <n v="315"/>
    <n v="315"/>
    <n v="630"/>
    <n v="0"/>
    <n v="630"/>
    <n v="186"/>
    <n v="0"/>
    <n v="315"/>
    <n v="0"/>
    <n v="2325"/>
    <s v="MMR012CMP083"/>
    <s v="Open"/>
  </r>
  <r>
    <x v="35"/>
    <n v="2014"/>
    <d v="2014-12-14T00:00:00"/>
    <x v="3"/>
    <s v="UNHCR"/>
    <x v="0"/>
    <x v="2"/>
    <s v="Honsara (Zaw Ma Tat)"/>
    <n v="170"/>
    <n v="170"/>
    <n v="170"/>
    <n v="338"/>
    <n v="0"/>
    <n v="338"/>
    <n v="110"/>
    <n v="0"/>
    <n v="170"/>
    <m/>
    <n v="550"/>
    <n v="170"/>
    <n v="170"/>
    <n v="170"/>
    <n v="338"/>
    <n v="0"/>
    <n v="338"/>
    <n v="110"/>
    <n v="0"/>
    <n v="170"/>
    <n v="0"/>
    <n v="1375"/>
    <s v="MMR012CMP109"/>
    <s v="Open"/>
  </r>
  <r>
    <x v="36"/>
    <n v="2014"/>
    <d v="2014-09-18T00:00:00"/>
    <x v="3"/>
    <s v="UNHCR"/>
    <x v="0"/>
    <x v="6"/>
    <s v="Ah Htet Nan Yar"/>
    <n v="349"/>
    <n v="349"/>
    <n v="349"/>
    <n v="698"/>
    <n v="250"/>
    <n v="698"/>
    <n v="250"/>
    <n v="0"/>
    <n v="349"/>
    <m/>
    <n v="1250"/>
    <n v="0"/>
    <n v="0"/>
    <n v="0"/>
    <n v="0"/>
    <n v="0"/>
    <n v="0"/>
    <n v="0"/>
    <n v="0"/>
    <n v="0"/>
    <n v="0"/>
    <n v="0"/>
    <s v="MMR012CMP034"/>
    <s v="Open"/>
  </r>
  <r>
    <x v="37"/>
    <n v="2014"/>
    <d v="2014-09-17T00:00:00"/>
    <x v="3"/>
    <s v="UNHCR"/>
    <x v="0"/>
    <x v="6"/>
    <s v="Ah Nauk Pyin"/>
    <n v="86"/>
    <n v="86"/>
    <n v="86"/>
    <n v="170"/>
    <n v="66"/>
    <n v="170"/>
    <n v="66"/>
    <n v="0"/>
    <n v="86"/>
    <m/>
    <n v="330"/>
    <n v="0"/>
    <n v="0"/>
    <n v="0"/>
    <n v="0"/>
    <n v="0"/>
    <n v="0"/>
    <n v="0"/>
    <n v="0"/>
    <n v="0"/>
    <n v="0"/>
    <n v="0"/>
    <s v="MMR012CMP032"/>
    <s v="Open"/>
  </r>
  <r>
    <x v="38"/>
    <n v="2014"/>
    <d v="2014-09-16T00:00:00"/>
    <x v="3"/>
    <s v="UNHCR"/>
    <x v="0"/>
    <x v="6"/>
    <s v="Nyaung Pin Gyi"/>
    <n v="102"/>
    <n v="102"/>
    <n v="102"/>
    <n v="206"/>
    <n v="66"/>
    <n v="206"/>
    <n v="66"/>
    <n v="0"/>
    <n v="102"/>
    <m/>
    <n v="330"/>
    <n v="0"/>
    <n v="0"/>
    <n v="0"/>
    <n v="0"/>
    <n v="0"/>
    <n v="0"/>
    <n v="0"/>
    <n v="0"/>
    <n v="0"/>
    <n v="0"/>
    <n v="0"/>
    <s v="MMR012CMP031"/>
    <s v="Open"/>
  </r>
  <r>
    <x v="39"/>
    <n v="2014"/>
    <d v="2014-08-28T00:00:00"/>
    <x v="4"/>
    <s v="DRC"/>
    <x v="0"/>
    <x v="0"/>
    <s v="Baw Du Pha 2"/>
    <m/>
    <m/>
    <m/>
    <n v="2624"/>
    <n v="1312"/>
    <n v="2624"/>
    <n v="1312"/>
    <m/>
    <n v="1312"/>
    <m/>
    <n v="3936"/>
    <n v="0"/>
    <n v="0"/>
    <n v="0"/>
    <n v="0"/>
    <n v="0"/>
    <n v="0"/>
    <n v="0"/>
    <n v="0"/>
    <n v="0"/>
    <n v="0"/>
    <n v="0"/>
    <s v="MMR012CMP114"/>
    <s v="Open"/>
  </r>
  <r>
    <x v="40"/>
    <n v="2014"/>
    <d v="2014-08-26T00:00:00"/>
    <x v="4"/>
    <s v="DRC"/>
    <x v="0"/>
    <x v="0"/>
    <s v="Baw Du Pha 1"/>
    <m/>
    <m/>
    <m/>
    <n v="2020"/>
    <n v="1010"/>
    <n v="2020"/>
    <n v="1010"/>
    <m/>
    <n v="1010"/>
    <m/>
    <n v="3030"/>
    <n v="0"/>
    <n v="0"/>
    <n v="0"/>
    <n v="0"/>
    <n v="0"/>
    <n v="0"/>
    <n v="0"/>
    <n v="0"/>
    <n v="0"/>
    <n v="0"/>
    <n v="0"/>
    <s v="MMR012CMP113"/>
    <s v="Open"/>
  </r>
  <r>
    <x v="41"/>
    <n v="2014"/>
    <d v="2014-08-14T00:00:00"/>
    <x v="1"/>
    <s v="LWF"/>
    <x v="0"/>
    <x v="0"/>
    <s v="Set Yone Su"/>
    <m/>
    <m/>
    <m/>
    <n v="2"/>
    <n v="1"/>
    <n v="2"/>
    <n v="1"/>
    <m/>
    <n v="1"/>
    <m/>
    <n v="5"/>
    <n v="0"/>
    <n v="0"/>
    <n v="0"/>
    <n v="0"/>
    <n v="0"/>
    <n v="0"/>
    <n v="0"/>
    <n v="0"/>
    <n v="0"/>
    <n v="0"/>
    <n v="0"/>
    <s v="MMR012CMP056"/>
    <s v="Open"/>
  </r>
  <r>
    <x v="41"/>
    <n v="2014"/>
    <d v="2014-08-14T00:00:00"/>
    <x v="1"/>
    <s v="LWF"/>
    <x v="0"/>
    <x v="0"/>
    <s v="Set Yone Su 3"/>
    <m/>
    <m/>
    <m/>
    <n v="2"/>
    <n v="1"/>
    <n v="2"/>
    <n v="1"/>
    <m/>
    <n v="1"/>
    <m/>
    <n v="5"/>
    <n v="0"/>
    <n v="0"/>
    <n v="0"/>
    <n v="0"/>
    <n v="0"/>
    <n v="0"/>
    <n v="0"/>
    <n v="0"/>
    <n v="0"/>
    <n v="0"/>
    <n v="0"/>
    <s v="MMR012CMP093"/>
    <s v="Open"/>
  </r>
  <r>
    <x v="42"/>
    <n v="2014"/>
    <d v="2014-08-01T00:00:00"/>
    <x v="8"/>
    <s v="AGE"/>
    <x v="0"/>
    <x v="1"/>
    <s v="Ah Nauk Ywe"/>
    <m/>
    <m/>
    <m/>
    <m/>
    <m/>
    <m/>
    <m/>
    <n v="1128"/>
    <m/>
    <m/>
    <m/>
    <n v="0"/>
    <n v="0"/>
    <n v="0"/>
    <n v="0"/>
    <n v="0"/>
    <n v="0"/>
    <n v="0"/>
    <n v="0"/>
    <n v="0"/>
    <n v="0"/>
    <n v="0"/>
    <s v="MMR012CMP016"/>
    <s v="Open"/>
  </r>
  <r>
    <x v="42"/>
    <n v="2014"/>
    <d v="2014-08-01T00:00:00"/>
    <x v="8"/>
    <s v="AGE"/>
    <x v="0"/>
    <x v="1"/>
    <s v="Kyein Ni Pyin"/>
    <m/>
    <m/>
    <m/>
    <m/>
    <m/>
    <m/>
    <m/>
    <n v="959"/>
    <m/>
    <m/>
    <m/>
    <n v="0"/>
    <n v="0"/>
    <n v="0"/>
    <n v="0"/>
    <n v="0"/>
    <n v="0"/>
    <n v="0"/>
    <n v="0"/>
    <n v="0"/>
    <n v="0"/>
    <n v="0"/>
    <s v="MMR012CMP018"/>
    <s v="Open"/>
  </r>
  <r>
    <x v="42"/>
    <n v="2014"/>
    <d v="2014-08-01T00:00:00"/>
    <x v="8"/>
    <s v="AGE"/>
    <x v="0"/>
    <x v="1"/>
    <s v="Nget Chaung"/>
    <m/>
    <m/>
    <m/>
    <m/>
    <m/>
    <m/>
    <m/>
    <n v="1130"/>
    <m/>
    <m/>
    <m/>
    <n v="0"/>
    <n v="0"/>
    <n v="0"/>
    <n v="0"/>
    <n v="0"/>
    <n v="0"/>
    <n v="0"/>
    <n v="0"/>
    <n v="0"/>
    <n v="0"/>
    <n v="0"/>
    <s v="MMR012CMP017"/>
    <s v="Open"/>
  </r>
  <r>
    <x v="42"/>
    <n v="2014"/>
    <d v="2014-08-01T00:00:00"/>
    <x v="8"/>
    <s v="AGE"/>
    <x v="0"/>
    <x v="1"/>
    <s v="Sin Tet Maw"/>
    <m/>
    <m/>
    <m/>
    <m/>
    <m/>
    <m/>
    <m/>
    <n v="681"/>
    <m/>
    <m/>
    <m/>
    <n v="0"/>
    <n v="0"/>
    <n v="0"/>
    <n v="0"/>
    <n v="0"/>
    <n v="0"/>
    <n v="0"/>
    <n v="0"/>
    <n v="0"/>
    <n v="0"/>
    <n v="0"/>
    <s v="MMR012CMP019"/>
    <s v="Open"/>
  </r>
  <r>
    <x v="42"/>
    <n v="2014"/>
    <d v="2014-08-01T00:00:00"/>
    <x v="8"/>
    <s v="AGE"/>
    <x v="0"/>
    <x v="1"/>
    <s v="Ba Wan Chaung Wa Su"/>
    <m/>
    <m/>
    <m/>
    <m/>
    <m/>
    <m/>
    <m/>
    <n v="24"/>
    <m/>
    <m/>
    <m/>
    <n v="0"/>
    <n v="0"/>
    <n v="0"/>
    <n v="0"/>
    <n v="0"/>
    <n v="0"/>
    <n v="0"/>
    <n v="0"/>
    <n v="0"/>
    <n v="0"/>
    <n v="0"/>
    <s v="MMR012CMP015"/>
    <s v="Open"/>
  </r>
  <r>
    <x v="42"/>
    <n v="2014"/>
    <d v="2014-08-01T00:00:00"/>
    <x v="8"/>
    <s v="AGE"/>
    <x v="0"/>
    <x v="2"/>
    <s v="Maw Ya Waddy"/>
    <m/>
    <m/>
    <m/>
    <m/>
    <m/>
    <m/>
    <m/>
    <n v="183"/>
    <m/>
    <m/>
    <m/>
    <n v="0"/>
    <n v="0"/>
    <n v="0"/>
    <n v="0"/>
    <n v="0"/>
    <n v="0"/>
    <n v="0"/>
    <n v="0"/>
    <n v="0"/>
    <n v="0"/>
    <n v="0"/>
    <s v="MMR012CMP076"/>
    <s v="Close"/>
  </r>
  <r>
    <x v="42"/>
    <n v="2014"/>
    <d v="2014-08-01T00:00:00"/>
    <x v="8"/>
    <s v="AGE"/>
    <x v="0"/>
    <x v="2"/>
    <s v="Kyaing Gyi"/>
    <m/>
    <m/>
    <m/>
    <m/>
    <m/>
    <m/>
    <m/>
    <n v="162"/>
    <m/>
    <m/>
    <m/>
    <n v="0"/>
    <n v="0"/>
    <n v="0"/>
    <n v="0"/>
    <n v="0"/>
    <n v="0"/>
    <n v="0"/>
    <n v="0"/>
    <n v="0"/>
    <n v="0"/>
    <n v="0"/>
    <s v="MMR012CMP078"/>
    <s v="Close"/>
  </r>
  <r>
    <x v="42"/>
    <n v="2014"/>
    <d v="2014-08-01T00:00:00"/>
    <x v="8"/>
    <s v="AGE"/>
    <x v="0"/>
    <x v="2"/>
    <s v="Tha Yay Kone Baung"/>
    <m/>
    <m/>
    <m/>
    <m/>
    <m/>
    <m/>
    <m/>
    <n v="192"/>
    <m/>
    <m/>
    <m/>
    <n v="0"/>
    <n v="0"/>
    <n v="0"/>
    <n v="0"/>
    <n v="0"/>
    <n v="0"/>
    <n v="0"/>
    <n v="0"/>
    <n v="0"/>
    <n v="0"/>
    <n v="0"/>
    <s v="MMR012CMP077"/>
    <s v="Close"/>
  </r>
  <r>
    <x v="42"/>
    <n v="2014"/>
    <d v="2014-08-01T00:00:00"/>
    <x v="8"/>
    <s v="AGE"/>
    <x v="0"/>
    <x v="2"/>
    <s v="Kin Chaung"/>
    <m/>
    <m/>
    <m/>
    <m/>
    <m/>
    <m/>
    <m/>
    <n v="102"/>
    <m/>
    <m/>
    <m/>
    <n v="0"/>
    <n v="0"/>
    <n v="0"/>
    <n v="0"/>
    <n v="0"/>
    <n v="0"/>
    <n v="0"/>
    <n v="0"/>
    <n v="0"/>
    <n v="0"/>
    <n v="0"/>
    <s v="MMR012CMP080"/>
    <s v="Close"/>
  </r>
  <r>
    <x v="42"/>
    <n v="2014"/>
    <d v="2014-08-01T00:00:00"/>
    <x v="8"/>
    <s v="AGE"/>
    <x v="0"/>
    <x v="2"/>
    <s v="Baw Di Gone"/>
    <m/>
    <m/>
    <m/>
    <m/>
    <m/>
    <m/>
    <m/>
    <n v="103"/>
    <m/>
    <m/>
    <m/>
    <n v="0"/>
    <n v="0"/>
    <n v="0"/>
    <n v="0"/>
    <n v="0"/>
    <n v="0"/>
    <n v="0"/>
    <n v="0"/>
    <n v="0"/>
    <n v="0"/>
    <n v="0"/>
    <s v="MMR012CMP079"/>
    <s v="Close"/>
  </r>
  <r>
    <x v="42"/>
    <n v="2014"/>
    <d v="2014-08-01T00:00:00"/>
    <x v="8"/>
    <s v="AGE"/>
    <x v="0"/>
    <x v="2"/>
    <s v="Kan Thar Yar"/>
    <m/>
    <m/>
    <m/>
    <m/>
    <m/>
    <m/>
    <m/>
    <n v="175"/>
    <m/>
    <m/>
    <m/>
    <n v="0"/>
    <n v="0"/>
    <n v="0"/>
    <n v="0"/>
    <n v="0"/>
    <n v="0"/>
    <n v="0"/>
    <n v="0"/>
    <n v="0"/>
    <n v="0"/>
    <n v="0"/>
    <s v="MMR012CMP081"/>
    <s v="Close"/>
  </r>
  <r>
    <x v="43"/>
    <n v="2014"/>
    <d v="2014-07-21T00:00:00"/>
    <x v="4"/>
    <s v="DRC"/>
    <x v="0"/>
    <x v="0"/>
    <s v="Dar Pai"/>
    <m/>
    <m/>
    <m/>
    <m/>
    <n v="304"/>
    <n v="608"/>
    <m/>
    <m/>
    <n v="304"/>
    <m/>
    <m/>
    <n v="0"/>
    <n v="0"/>
    <n v="0"/>
    <n v="0"/>
    <n v="0"/>
    <n v="0"/>
    <n v="0"/>
    <n v="0"/>
    <n v="0"/>
    <n v="0"/>
    <n v="0"/>
    <s v="MMR012CMP041"/>
    <s v="Open"/>
  </r>
  <r>
    <x v="43"/>
    <n v="2014"/>
    <d v="2014-07-21T00:00:00"/>
    <x v="1"/>
    <s v="LWF"/>
    <x v="0"/>
    <x v="0"/>
    <s v="Set Yone Su"/>
    <m/>
    <n v="70"/>
    <m/>
    <m/>
    <m/>
    <m/>
    <m/>
    <m/>
    <m/>
    <m/>
    <m/>
    <n v="0"/>
    <n v="0"/>
    <n v="0"/>
    <n v="0"/>
    <n v="0"/>
    <n v="0"/>
    <n v="0"/>
    <n v="0"/>
    <n v="0"/>
    <n v="0"/>
    <n v="0"/>
    <s v="MMR012CMP056"/>
    <s v="Open"/>
  </r>
  <r>
    <x v="43"/>
    <n v="2014"/>
    <d v="2014-07-21T00:00:00"/>
    <x v="1"/>
    <s v="LWF"/>
    <x v="0"/>
    <x v="0"/>
    <s v="Set Yone Su 3"/>
    <m/>
    <n v="151"/>
    <m/>
    <m/>
    <m/>
    <m/>
    <m/>
    <m/>
    <m/>
    <m/>
    <m/>
    <n v="0"/>
    <n v="0"/>
    <n v="0"/>
    <n v="0"/>
    <n v="0"/>
    <n v="0"/>
    <n v="0"/>
    <n v="0"/>
    <n v="0"/>
    <n v="0"/>
    <n v="0"/>
    <s v="MMR012CMP093"/>
    <s v="Open"/>
  </r>
  <r>
    <x v="44"/>
    <n v="2014"/>
    <d v="2014-06-14T00:00:00"/>
    <x v="1"/>
    <s v="LWF"/>
    <x v="0"/>
    <x v="0"/>
    <s v="Khaung Doke Khar "/>
    <m/>
    <m/>
    <m/>
    <n v="2"/>
    <n v="1"/>
    <n v="2"/>
    <n v="1"/>
    <m/>
    <n v="1"/>
    <m/>
    <n v="5"/>
    <n v="0"/>
    <n v="0"/>
    <n v="0"/>
    <n v="0"/>
    <n v="0"/>
    <n v="0"/>
    <n v="0"/>
    <n v="0"/>
    <n v="0"/>
    <n v="0"/>
    <n v="0"/>
    <s v="MMR012CMP042"/>
    <s v="Open"/>
  </r>
  <r>
    <x v="45"/>
    <n v="2014"/>
    <d v="2014-06-08T00:00:00"/>
    <x v="3"/>
    <s v="UNHCR"/>
    <x v="0"/>
    <x v="0"/>
    <s v="Thae Chaung (IDP in host families)"/>
    <m/>
    <n v="2404"/>
    <m/>
    <n v="4808"/>
    <n v="2404"/>
    <n v="4808"/>
    <n v="2404"/>
    <m/>
    <n v="2404"/>
    <m/>
    <n v="12020"/>
    <n v="0"/>
    <n v="0"/>
    <n v="0"/>
    <n v="0"/>
    <n v="0"/>
    <n v="0"/>
    <n v="0"/>
    <n v="0"/>
    <n v="0"/>
    <n v="0"/>
    <n v="0"/>
    <s v="MMR012CMP101"/>
    <s v="Close"/>
  </r>
  <r>
    <x v="46"/>
    <n v="2014"/>
    <d v="2014-04-01T00:00:00"/>
    <x v="4"/>
    <s v="DRC"/>
    <x v="0"/>
    <x v="0"/>
    <s v="Say Tha Mar Gyi"/>
    <m/>
    <m/>
    <m/>
    <m/>
    <n v="2573"/>
    <m/>
    <m/>
    <m/>
    <m/>
    <m/>
    <m/>
    <n v="0"/>
    <n v="0"/>
    <n v="0"/>
    <n v="0"/>
    <n v="0"/>
    <n v="0"/>
    <n v="0"/>
    <n v="0"/>
    <n v="0"/>
    <n v="0"/>
    <n v="0"/>
    <s v="MMR012CMP045"/>
    <s v="Open"/>
  </r>
  <r>
    <x v="47"/>
    <n v="2014"/>
    <d v="2014-03-01T00:00:00"/>
    <x v="4"/>
    <s v="DRC"/>
    <x v="0"/>
    <x v="0"/>
    <s v="Baw Du Pha 1"/>
    <m/>
    <m/>
    <m/>
    <m/>
    <n v="1000"/>
    <m/>
    <m/>
    <m/>
    <m/>
    <m/>
    <m/>
    <n v="0"/>
    <n v="0"/>
    <n v="0"/>
    <n v="0"/>
    <n v="0"/>
    <n v="0"/>
    <n v="0"/>
    <n v="0"/>
    <n v="0"/>
    <n v="0"/>
    <n v="0"/>
    <s v="MMR012CMP113"/>
    <s v="Open"/>
  </r>
  <r>
    <x v="47"/>
    <n v="2014"/>
    <d v="2014-03-01T00:00:00"/>
    <x v="4"/>
    <s v="DRC"/>
    <x v="0"/>
    <x v="0"/>
    <s v="Baw Du Pha 2"/>
    <m/>
    <m/>
    <m/>
    <m/>
    <n v="1320"/>
    <m/>
    <m/>
    <m/>
    <m/>
    <m/>
    <m/>
    <n v="0"/>
    <n v="0"/>
    <n v="0"/>
    <n v="0"/>
    <n v="0"/>
    <n v="0"/>
    <n v="0"/>
    <n v="0"/>
    <n v="0"/>
    <n v="0"/>
    <n v="0"/>
    <s v="MMR012CMP114"/>
    <s v="Open"/>
  </r>
  <r>
    <x v="47"/>
    <n v="2014"/>
    <d v="2014-03-01T00:00:00"/>
    <x v="4"/>
    <s v="DRC"/>
    <x v="0"/>
    <x v="0"/>
    <s v="Dar Pai (IDP in host families)"/>
    <m/>
    <m/>
    <m/>
    <m/>
    <n v="1400"/>
    <m/>
    <m/>
    <m/>
    <m/>
    <m/>
    <m/>
    <n v="0"/>
    <n v="0"/>
    <n v="0"/>
    <n v="0"/>
    <n v="0"/>
    <n v="0"/>
    <n v="0"/>
    <n v="0"/>
    <n v="0"/>
    <n v="0"/>
    <n v="0"/>
    <s v="MMR012CMP097"/>
    <s v="Open"/>
  </r>
  <r>
    <x v="47"/>
    <n v="2014"/>
    <d v="2014-03-01T00:00:00"/>
    <x v="4"/>
    <s v="DRC"/>
    <x v="0"/>
    <x v="0"/>
    <s v="Ohn Taw Gyi (North)"/>
    <m/>
    <m/>
    <m/>
    <m/>
    <n v="2549"/>
    <m/>
    <m/>
    <m/>
    <m/>
    <m/>
    <m/>
    <n v="0"/>
    <n v="0"/>
    <n v="0"/>
    <n v="0"/>
    <n v="0"/>
    <n v="0"/>
    <n v="0"/>
    <n v="0"/>
    <n v="0"/>
    <n v="0"/>
    <n v="0"/>
    <s v="MMR012CMP115"/>
    <s v="Open"/>
  </r>
  <r>
    <x v="48"/>
    <n v="2014"/>
    <d v="2014-01-31T00:00:00"/>
    <x v="3"/>
    <s v="UNHCR"/>
    <x v="0"/>
    <x v="3"/>
    <s v="Ah Pauk Wa "/>
    <m/>
    <m/>
    <m/>
    <n v="2"/>
    <m/>
    <n v="2"/>
    <n v="1"/>
    <n v="4"/>
    <n v="1"/>
    <m/>
    <n v="2"/>
    <n v="0"/>
    <n v="0"/>
    <n v="0"/>
    <n v="0"/>
    <n v="0"/>
    <n v="0"/>
    <n v="0"/>
    <n v="0"/>
    <n v="0"/>
    <n v="0"/>
    <n v="0"/>
    <s v="MMR012CMP024"/>
    <s v="Open"/>
  </r>
  <r>
    <x v="49"/>
    <n v="2014"/>
    <d v="2014-01-16T00:00:00"/>
    <x v="3"/>
    <s v="UNHCR"/>
    <x v="0"/>
    <x v="1"/>
    <s v="Sin Tet Maw"/>
    <m/>
    <m/>
    <m/>
    <m/>
    <m/>
    <n v="20"/>
    <n v="700"/>
    <m/>
    <m/>
    <m/>
    <n v="120"/>
    <n v="0"/>
    <n v="0"/>
    <n v="0"/>
    <n v="0"/>
    <n v="0"/>
    <n v="0"/>
    <n v="0"/>
    <n v="0"/>
    <n v="0"/>
    <n v="0"/>
    <n v="0"/>
    <s v="MMR012CMP019"/>
    <s v="Open"/>
  </r>
  <r>
    <x v="49"/>
    <n v="2014"/>
    <d v="2014-01-16T00:00:00"/>
    <x v="3"/>
    <s v="UNHCR"/>
    <x v="0"/>
    <x v="1"/>
    <s v="Sin Tet Maw"/>
    <m/>
    <m/>
    <m/>
    <n v="807"/>
    <m/>
    <m/>
    <m/>
    <n v="807"/>
    <m/>
    <m/>
    <m/>
    <n v="0"/>
    <n v="0"/>
    <n v="0"/>
    <n v="0"/>
    <n v="0"/>
    <n v="0"/>
    <n v="0"/>
    <n v="0"/>
    <n v="0"/>
    <n v="0"/>
    <n v="0"/>
    <s v="MMR012CMP019"/>
    <s v="Open"/>
  </r>
  <r>
    <x v="50"/>
    <n v="2014"/>
    <d v="2014-01-15T00:00:00"/>
    <x v="3"/>
    <s v="UNHCR"/>
    <x v="0"/>
    <x v="1"/>
    <s v="Nget Chaung"/>
    <m/>
    <m/>
    <m/>
    <n v="588"/>
    <m/>
    <n v="588"/>
    <n v="294"/>
    <n v="1176"/>
    <n v="294"/>
    <m/>
    <n v="588"/>
    <n v="0"/>
    <n v="0"/>
    <n v="0"/>
    <n v="0"/>
    <n v="0"/>
    <n v="0"/>
    <n v="0"/>
    <n v="0"/>
    <n v="0"/>
    <n v="0"/>
    <n v="0"/>
    <s v="MMR012CMP017"/>
    <s v="Open"/>
  </r>
  <r>
    <x v="50"/>
    <n v="2014"/>
    <d v="2014-01-15T00:00:00"/>
    <x v="3"/>
    <s v="UNHCR"/>
    <x v="0"/>
    <x v="1"/>
    <s v="Sin Tet Maw"/>
    <m/>
    <m/>
    <m/>
    <n v="1420"/>
    <m/>
    <n v="1400"/>
    <m/>
    <n v="2800"/>
    <n v="700"/>
    <m/>
    <n v="1400"/>
    <n v="0"/>
    <n v="0"/>
    <n v="0"/>
    <n v="0"/>
    <n v="0"/>
    <n v="0"/>
    <n v="0"/>
    <n v="0"/>
    <n v="0"/>
    <n v="0"/>
    <n v="0"/>
    <s v="MMR012CMP019"/>
    <s v="Open"/>
  </r>
  <r>
    <x v="51"/>
    <n v="2014"/>
    <d v="2014-01-06T00:00:00"/>
    <x v="3"/>
    <s v="UNHCR"/>
    <x v="0"/>
    <x v="0"/>
    <s v="Ohn Taw Chay"/>
    <m/>
    <m/>
    <m/>
    <n v="10"/>
    <n v="5"/>
    <n v="15"/>
    <n v="5"/>
    <m/>
    <m/>
    <m/>
    <n v="10"/>
    <n v="0"/>
    <n v="0"/>
    <n v="0"/>
    <n v="0"/>
    <n v="0"/>
    <n v="0"/>
    <n v="0"/>
    <n v="0"/>
    <n v="0"/>
    <n v="0"/>
    <n v="0"/>
    <s v="MMR012CMP098"/>
    <s v="Open"/>
  </r>
  <r>
    <x v="52"/>
    <n v="2014"/>
    <d v="2014-01-02T00:00:00"/>
    <x v="3"/>
    <s v="UNHCR"/>
    <x v="0"/>
    <x v="3"/>
    <s v="Ah Pauk Wa "/>
    <m/>
    <m/>
    <n v="1"/>
    <n v="2"/>
    <m/>
    <n v="2"/>
    <n v="1"/>
    <n v="1"/>
    <n v="1"/>
    <m/>
    <n v="2"/>
    <n v="0"/>
    <n v="0"/>
    <n v="0"/>
    <n v="0"/>
    <n v="0"/>
    <n v="0"/>
    <n v="0"/>
    <n v="0"/>
    <n v="0"/>
    <n v="0"/>
    <n v="0"/>
    <s v="MMR012CMP024"/>
    <s v="Open"/>
  </r>
  <r>
    <x v="52"/>
    <n v="2014"/>
    <d v="2014-01-02T00:00:00"/>
    <x v="3"/>
    <s v="UNHCR"/>
    <x v="0"/>
    <x v="0"/>
    <s v="Ohn Taw Chay"/>
    <m/>
    <n v="30"/>
    <m/>
    <n v="50"/>
    <n v="25"/>
    <n v="75"/>
    <n v="25"/>
    <m/>
    <m/>
    <m/>
    <n v="50"/>
    <n v="0"/>
    <n v="0"/>
    <n v="0"/>
    <n v="0"/>
    <n v="0"/>
    <n v="0"/>
    <n v="0"/>
    <n v="0"/>
    <n v="0"/>
    <n v="0"/>
    <n v="0"/>
    <s v="MMR012CMP098"/>
    <s v="Open"/>
  </r>
  <r>
    <x v="53"/>
    <n v="2013"/>
    <d v="2013-12-31T00:00:00"/>
    <x v="3"/>
    <s v="UNHCR"/>
    <x v="0"/>
    <x v="0"/>
    <s v="Ohn Taw Chay"/>
    <m/>
    <m/>
    <m/>
    <n v="800"/>
    <m/>
    <m/>
    <m/>
    <m/>
    <m/>
    <m/>
    <m/>
    <n v="0"/>
    <n v="0"/>
    <n v="0"/>
    <n v="0"/>
    <n v="0"/>
    <n v="0"/>
    <n v="0"/>
    <n v="0"/>
    <n v="0"/>
    <n v="0"/>
    <n v="0"/>
    <s v="MMR012CMP098"/>
    <s v="Open"/>
  </r>
  <r>
    <x v="53"/>
    <n v="2013"/>
    <d v="2013-12-31T00:00:00"/>
    <x v="3"/>
    <s v="UNHCR"/>
    <x v="0"/>
    <x v="0"/>
    <s v="Ohn Taw Chay"/>
    <m/>
    <m/>
    <m/>
    <m/>
    <m/>
    <n v="800"/>
    <n v="400"/>
    <m/>
    <n v="400"/>
    <m/>
    <n v="800"/>
    <n v="0"/>
    <n v="0"/>
    <n v="0"/>
    <n v="0"/>
    <n v="0"/>
    <n v="0"/>
    <n v="0"/>
    <n v="0"/>
    <n v="0"/>
    <n v="0"/>
    <n v="0"/>
    <s v="MMR012CMP098"/>
    <s v="Open"/>
  </r>
  <r>
    <x v="53"/>
    <n v="2013"/>
    <d v="2013-12-31T00:00:00"/>
    <x v="3"/>
    <s v="UNHCR"/>
    <x v="0"/>
    <x v="0"/>
    <s v="Ohn Taw Chay"/>
    <m/>
    <m/>
    <m/>
    <m/>
    <n v="309"/>
    <m/>
    <m/>
    <m/>
    <m/>
    <m/>
    <m/>
    <n v="0"/>
    <n v="0"/>
    <n v="0"/>
    <n v="0"/>
    <n v="0"/>
    <n v="0"/>
    <n v="0"/>
    <n v="0"/>
    <n v="0"/>
    <n v="0"/>
    <n v="0"/>
    <s v="MMR012CMP098"/>
    <s v="Open"/>
  </r>
  <r>
    <x v="54"/>
    <n v="2013"/>
    <d v="2013-12-13T00:00:00"/>
    <x v="3"/>
    <s v="UNHCR"/>
    <x v="0"/>
    <x v="1"/>
    <s v="Nget Chaung"/>
    <m/>
    <m/>
    <m/>
    <n v="1966"/>
    <m/>
    <n v="1966"/>
    <n v="983"/>
    <n v="983"/>
    <n v="983"/>
    <m/>
    <n v="1966"/>
    <n v="0"/>
    <n v="0"/>
    <n v="0"/>
    <n v="0"/>
    <n v="0"/>
    <n v="0"/>
    <n v="0"/>
    <n v="0"/>
    <n v="0"/>
    <n v="0"/>
    <n v="0"/>
    <s v="MMR012CMP017"/>
    <s v="Open"/>
  </r>
  <r>
    <x v="54"/>
    <n v="2013"/>
    <d v="2013-12-13T00:00:00"/>
    <x v="3"/>
    <s v="UNHCR"/>
    <x v="0"/>
    <x v="1"/>
    <s v="Sin Tet Maw"/>
    <m/>
    <m/>
    <m/>
    <n v="807"/>
    <n v="203"/>
    <m/>
    <m/>
    <n v="807"/>
    <m/>
    <m/>
    <m/>
    <n v="0"/>
    <n v="0"/>
    <n v="0"/>
    <n v="0"/>
    <n v="0"/>
    <n v="0"/>
    <n v="0"/>
    <n v="0"/>
    <n v="0"/>
    <n v="0"/>
    <n v="0"/>
    <s v="MMR012CMP019"/>
    <s v="Open"/>
  </r>
  <r>
    <x v="55"/>
    <n v="2013"/>
    <d v="2013-12-12T00:00:00"/>
    <x v="6"/>
    <s v="RI"/>
    <x v="0"/>
    <x v="7"/>
    <s v="Taung Paw "/>
    <n v="743"/>
    <m/>
    <m/>
    <n v="743"/>
    <m/>
    <n v="743"/>
    <m/>
    <m/>
    <n v="743"/>
    <m/>
    <m/>
    <n v="0"/>
    <n v="0"/>
    <n v="0"/>
    <n v="0"/>
    <n v="0"/>
    <n v="0"/>
    <n v="0"/>
    <n v="0"/>
    <n v="0"/>
    <n v="0"/>
    <n v="0"/>
    <s v="MMR012CMP014"/>
    <s v="Open"/>
  </r>
  <r>
    <x v="56"/>
    <n v="2013"/>
    <d v="2013-12-05T00:00:00"/>
    <x v="3"/>
    <s v="UNHCR"/>
    <x v="0"/>
    <x v="0"/>
    <s v="Ohn Taw Gyi (North)"/>
    <m/>
    <m/>
    <m/>
    <n v="2400"/>
    <m/>
    <n v="2400"/>
    <n v="1200"/>
    <m/>
    <n v="1200"/>
    <m/>
    <n v="6000"/>
    <n v="0"/>
    <n v="0"/>
    <n v="0"/>
    <n v="0"/>
    <n v="0"/>
    <n v="0"/>
    <n v="0"/>
    <n v="0"/>
    <n v="0"/>
    <n v="0"/>
    <n v="0"/>
    <s v="MMR012CMP115"/>
    <s v="Open"/>
  </r>
  <r>
    <x v="56"/>
    <n v="2013"/>
    <d v="2013-12-05T00:00:00"/>
    <x v="3"/>
    <s v="UNHCR"/>
    <x v="0"/>
    <x v="0"/>
    <s v="Ohn Taw Gyi (North)"/>
    <m/>
    <m/>
    <m/>
    <m/>
    <n v="33"/>
    <m/>
    <m/>
    <m/>
    <m/>
    <m/>
    <m/>
    <n v="0"/>
    <n v="0"/>
    <n v="0"/>
    <n v="0"/>
    <n v="0"/>
    <n v="0"/>
    <n v="0"/>
    <n v="0"/>
    <n v="0"/>
    <n v="0"/>
    <n v="0"/>
    <s v="MMR012CMP115"/>
    <s v="Open"/>
  </r>
  <r>
    <x v="57"/>
    <n v="2013"/>
    <d v="2013-11-19T00:00:00"/>
    <x v="1"/>
    <s v="LWF"/>
    <x v="0"/>
    <x v="0"/>
    <s v="Ohn Taw Gyi (South)"/>
    <m/>
    <n v="731"/>
    <m/>
    <m/>
    <m/>
    <m/>
    <m/>
    <m/>
    <m/>
    <m/>
    <m/>
    <n v="0"/>
    <n v="0"/>
    <n v="0"/>
    <n v="0"/>
    <n v="0"/>
    <n v="0"/>
    <n v="0"/>
    <n v="0"/>
    <n v="0"/>
    <n v="0"/>
    <n v="0"/>
    <s v="MMR012CMP116"/>
    <s v="Open"/>
  </r>
  <r>
    <x v="58"/>
    <n v="2013"/>
    <d v="2013-11-14T00:00:00"/>
    <x v="1"/>
    <s v="LWF"/>
    <x v="0"/>
    <x v="0"/>
    <s v="Ohn Taw Gyi (South)"/>
    <m/>
    <n v="264"/>
    <m/>
    <m/>
    <m/>
    <m/>
    <m/>
    <m/>
    <m/>
    <m/>
    <m/>
    <n v="0"/>
    <n v="0"/>
    <n v="0"/>
    <n v="0"/>
    <n v="0"/>
    <n v="0"/>
    <n v="0"/>
    <n v="0"/>
    <n v="0"/>
    <n v="0"/>
    <n v="0"/>
    <s v="MMR012CMP116"/>
    <s v="Open"/>
  </r>
  <r>
    <x v="59"/>
    <n v="2013"/>
    <d v="2013-11-13T00:00:00"/>
    <x v="3"/>
    <s v="UNHCR"/>
    <x v="0"/>
    <x v="3"/>
    <s v="Let Saung Kauk"/>
    <n v="48"/>
    <m/>
    <m/>
    <m/>
    <m/>
    <m/>
    <m/>
    <m/>
    <m/>
    <m/>
    <m/>
    <n v="0"/>
    <n v="0"/>
    <n v="0"/>
    <n v="0"/>
    <n v="0"/>
    <n v="0"/>
    <n v="0"/>
    <n v="0"/>
    <n v="0"/>
    <n v="0"/>
    <n v="0"/>
    <s v="MMR012CMP020"/>
    <s v="Open"/>
  </r>
  <r>
    <x v="59"/>
    <n v="2013"/>
    <d v="2013-11-13T00:00:00"/>
    <x v="3"/>
    <s v="UNHCR"/>
    <x v="0"/>
    <x v="3"/>
    <s v="Nidin"/>
    <n v="187"/>
    <m/>
    <m/>
    <m/>
    <m/>
    <m/>
    <m/>
    <m/>
    <m/>
    <m/>
    <m/>
    <n v="0"/>
    <n v="0"/>
    <n v="0"/>
    <n v="0"/>
    <n v="0"/>
    <n v="0"/>
    <n v="0"/>
    <n v="0"/>
    <n v="0"/>
    <n v="0"/>
    <n v="0"/>
    <s v="MMR012CMP023"/>
    <s v="Open"/>
  </r>
  <r>
    <x v="59"/>
    <n v="2013"/>
    <d v="2013-11-13T00:00:00"/>
    <x v="1"/>
    <s v="LWF"/>
    <x v="0"/>
    <x v="0"/>
    <s v="Ohn Taw Gyi (South)"/>
    <m/>
    <n v="200"/>
    <m/>
    <m/>
    <m/>
    <m/>
    <m/>
    <m/>
    <m/>
    <m/>
    <m/>
    <n v="0"/>
    <n v="0"/>
    <n v="0"/>
    <n v="0"/>
    <n v="0"/>
    <n v="0"/>
    <n v="0"/>
    <n v="0"/>
    <n v="0"/>
    <n v="0"/>
    <n v="0"/>
    <s v="MMR012CMP116"/>
    <s v="Open"/>
  </r>
  <r>
    <x v="59"/>
    <n v="2013"/>
    <d v="2013-11-13T00:00:00"/>
    <x v="1"/>
    <s v="LWF"/>
    <x v="0"/>
    <x v="0"/>
    <s v="Ohn Taw Gyi (South)"/>
    <m/>
    <n v="103"/>
    <m/>
    <m/>
    <m/>
    <m/>
    <m/>
    <m/>
    <m/>
    <m/>
    <m/>
    <n v="0"/>
    <n v="0"/>
    <n v="0"/>
    <n v="0"/>
    <n v="0"/>
    <n v="0"/>
    <n v="0"/>
    <n v="0"/>
    <n v="0"/>
    <n v="0"/>
    <n v="0"/>
    <s v="MMR012CMP116"/>
    <s v="Open"/>
  </r>
  <r>
    <x v="59"/>
    <n v="2013"/>
    <d v="2013-11-13T00:00:00"/>
    <x v="3"/>
    <s v="UNHCR"/>
    <x v="0"/>
    <x v="3"/>
    <s v="Shwe Hlaing"/>
    <n v="340"/>
    <m/>
    <m/>
    <m/>
    <m/>
    <m/>
    <m/>
    <m/>
    <m/>
    <m/>
    <m/>
    <n v="0"/>
    <n v="0"/>
    <n v="0"/>
    <n v="0"/>
    <n v="0"/>
    <n v="0"/>
    <n v="0"/>
    <n v="0"/>
    <n v="0"/>
    <n v="0"/>
    <n v="0"/>
    <s v="MMR012CMP029"/>
    <s v="Open"/>
  </r>
  <r>
    <x v="60"/>
    <n v="2013"/>
    <d v="2013-11-12T00:00:00"/>
    <x v="3"/>
    <s v="UNHCR"/>
    <x v="0"/>
    <x v="3"/>
    <s v="Ah Lel Kyun"/>
    <n v="36"/>
    <m/>
    <m/>
    <n v="28"/>
    <n v="83"/>
    <n v="28"/>
    <n v="14"/>
    <n v="14"/>
    <n v="14"/>
    <m/>
    <n v="28"/>
    <n v="0"/>
    <n v="0"/>
    <n v="0"/>
    <n v="0"/>
    <n v="0"/>
    <n v="0"/>
    <n v="0"/>
    <n v="0"/>
    <n v="0"/>
    <n v="0"/>
    <n v="0"/>
    <s v="MMR012CMP025"/>
    <s v="Open"/>
  </r>
  <r>
    <x v="60"/>
    <n v="2013"/>
    <d v="2013-11-12T00:00:00"/>
    <x v="1"/>
    <s v="LWF"/>
    <x v="0"/>
    <x v="0"/>
    <s v="Basare"/>
    <m/>
    <n v="395"/>
    <m/>
    <m/>
    <m/>
    <m/>
    <m/>
    <m/>
    <m/>
    <m/>
    <m/>
    <n v="0"/>
    <n v="0"/>
    <n v="0"/>
    <n v="0"/>
    <n v="0"/>
    <n v="0"/>
    <n v="0"/>
    <n v="0"/>
    <n v="0"/>
    <n v="0"/>
    <n v="0"/>
    <s v="MMR012CMP039"/>
    <s v="Open"/>
  </r>
  <r>
    <x v="60"/>
    <n v="2013"/>
    <d v="2013-11-12T00:00:00"/>
    <x v="3"/>
    <s v="UNHCR"/>
    <x v="0"/>
    <x v="3"/>
    <s v="Khaung Htoke"/>
    <n v="220"/>
    <m/>
    <m/>
    <m/>
    <m/>
    <m/>
    <m/>
    <m/>
    <m/>
    <m/>
    <m/>
    <n v="0"/>
    <n v="0"/>
    <n v="0"/>
    <n v="0"/>
    <n v="0"/>
    <n v="0"/>
    <n v="0"/>
    <n v="0"/>
    <n v="0"/>
    <n v="0"/>
    <n v="0"/>
    <s v="MMR012CMP030"/>
    <s v="Open"/>
  </r>
  <r>
    <x v="60"/>
    <n v="2013"/>
    <d v="2013-11-12T00:00:00"/>
    <x v="3"/>
    <s v="UNHCR"/>
    <x v="0"/>
    <x v="3"/>
    <s v="Taung Bwe"/>
    <n v="250"/>
    <m/>
    <m/>
    <m/>
    <m/>
    <m/>
    <m/>
    <m/>
    <m/>
    <m/>
    <m/>
    <n v="0"/>
    <n v="0"/>
    <n v="0"/>
    <n v="0"/>
    <n v="0"/>
    <n v="0"/>
    <n v="0"/>
    <n v="0"/>
    <n v="0"/>
    <n v="0"/>
    <n v="0"/>
    <s v="MMR012CMP021"/>
    <s v="Open"/>
  </r>
  <r>
    <x v="61"/>
    <n v="2013"/>
    <d v="2013-10-31T00:00:00"/>
    <x v="3"/>
    <s v="UNHCR"/>
    <x v="0"/>
    <x v="3"/>
    <s v="Goke Pi Htaunt"/>
    <n v="280"/>
    <m/>
    <m/>
    <m/>
    <m/>
    <m/>
    <m/>
    <m/>
    <m/>
    <m/>
    <m/>
    <n v="0"/>
    <n v="0"/>
    <n v="0"/>
    <n v="0"/>
    <n v="0"/>
    <n v="0"/>
    <n v="0"/>
    <n v="0"/>
    <n v="0"/>
    <n v="0"/>
    <n v="0"/>
    <s v="MMR012CMP027"/>
    <s v="Open"/>
  </r>
  <r>
    <x v="61"/>
    <n v="2013"/>
    <d v="2013-10-31T00:00:00"/>
    <x v="3"/>
    <s v="UNHCR"/>
    <x v="0"/>
    <x v="3"/>
    <s v="In Bar Yi"/>
    <n v="380"/>
    <m/>
    <m/>
    <m/>
    <m/>
    <m/>
    <m/>
    <m/>
    <m/>
    <m/>
    <m/>
    <n v="0"/>
    <n v="0"/>
    <n v="0"/>
    <n v="0"/>
    <n v="0"/>
    <n v="0"/>
    <n v="0"/>
    <n v="0"/>
    <n v="0"/>
    <n v="0"/>
    <n v="0"/>
    <s v="MMR012CMP026"/>
    <s v="Open"/>
  </r>
  <r>
    <x v="62"/>
    <n v="2013"/>
    <d v="2013-10-28T00:00:00"/>
    <x v="3"/>
    <s v="UNHCR"/>
    <x v="0"/>
    <x v="3"/>
    <s v="Ah Pauk Wa "/>
    <n v="230"/>
    <m/>
    <m/>
    <m/>
    <m/>
    <m/>
    <m/>
    <m/>
    <m/>
    <m/>
    <m/>
    <n v="0"/>
    <n v="0"/>
    <n v="0"/>
    <n v="0"/>
    <n v="0"/>
    <n v="0"/>
    <n v="0"/>
    <n v="0"/>
    <n v="0"/>
    <n v="0"/>
    <n v="0"/>
    <s v="MMR012CMP024"/>
    <s v="Open"/>
  </r>
  <r>
    <x v="62"/>
    <n v="2013"/>
    <d v="2013-10-28T00:00:00"/>
    <x v="3"/>
    <s v="UNHCR"/>
    <x v="0"/>
    <x v="3"/>
    <s v="Yun Nyar"/>
    <n v="300"/>
    <m/>
    <m/>
    <m/>
    <m/>
    <m/>
    <m/>
    <m/>
    <m/>
    <m/>
    <m/>
    <n v="0"/>
    <n v="0"/>
    <n v="0"/>
    <n v="0"/>
    <n v="0"/>
    <n v="0"/>
    <n v="0"/>
    <n v="0"/>
    <n v="0"/>
    <n v="0"/>
    <n v="0"/>
    <s v="MMR012CMP028"/>
    <s v="Open"/>
  </r>
  <r>
    <x v="63"/>
    <n v="2013"/>
    <d v="2013-10-22T00:00:00"/>
    <x v="3"/>
    <s v="UNHCR"/>
    <x v="0"/>
    <x v="0"/>
    <s v="Set Yone Su"/>
    <m/>
    <m/>
    <m/>
    <m/>
    <m/>
    <m/>
    <m/>
    <n v="250"/>
    <m/>
    <m/>
    <m/>
    <n v="0"/>
    <n v="0"/>
    <n v="0"/>
    <n v="0"/>
    <n v="0"/>
    <n v="0"/>
    <n v="0"/>
    <n v="0"/>
    <n v="0"/>
    <n v="0"/>
    <n v="0"/>
    <s v="MMR012CMP056"/>
    <s v="Open"/>
  </r>
  <r>
    <x v="64"/>
    <n v="2013"/>
    <d v="2013-10-18T00:00:00"/>
    <x v="1"/>
    <s v="LWF"/>
    <x v="0"/>
    <x v="0"/>
    <s v="Ohn Taw Gyi (South)"/>
    <m/>
    <n v="948"/>
    <m/>
    <m/>
    <m/>
    <m/>
    <m/>
    <m/>
    <m/>
    <m/>
    <m/>
    <n v="0"/>
    <n v="0"/>
    <n v="0"/>
    <n v="0"/>
    <n v="0"/>
    <n v="0"/>
    <n v="0"/>
    <n v="0"/>
    <n v="0"/>
    <n v="0"/>
    <n v="0"/>
    <s v="MMR012CMP116"/>
    <s v="Open"/>
  </r>
  <r>
    <x v="65"/>
    <n v="2013"/>
    <d v="2013-10-17T00:00:00"/>
    <x v="3"/>
    <s v="UNHCR"/>
    <x v="0"/>
    <x v="0"/>
    <s v="Sat Roe Kya 1"/>
    <m/>
    <m/>
    <m/>
    <m/>
    <m/>
    <m/>
    <m/>
    <n v="631"/>
    <m/>
    <m/>
    <m/>
    <n v="0"/>
    <n v="0"/>
    <n v="0"/>
    <n v="0"/>
    <n v="0"/>
    <n v="0"/>
    <n v="0"/>
    <n v="0"/>
    <n v="0"/>
    <n v="0"/>
    <n v="0"/>
    <s v="MMR012CMP111"/>
    <s v="Open"/>
  </r>
  <r>
    <x v="66"/>
    <n v="2013"/>
    <d v="2013-09-19T00:00:00"/>
    <x v="3"/>
    <s v="UNHCR"/>
    <x v="0"/>
    <x v="1"/>
    <s v="Ba Wan Chaung Wa Su"/>
    <m/>
    <m/>
    <m/>
    <n v="42"/>
    <m/>
    <n v="42"/>
    <n v="21"/>
    <n v="21"/>
    <n v="21"/>
    <m/>
    <n v="42"/>
    <n v="0"/>
    <n v="0"/>
    <n v="0"/>
    <n v="0"/>
    <n v="0"/>
    <n v="0"/>
    <n v="0"/>
    <n v="0"/>
    <n v="0"/>
    <n v="0"/>
    <n v="0"/>
    <s v="MMR012CMP015"/>
    <s v="Open"/>
  </r>
  <r>
    <x v="67"/>
    <n v="2013"/>
    <d v="2013-09-18T00:00:00"/>
    <x v="3"/>
    <s v="UNHCR"/>
    <x v="0"/>
    <x v="1"/>
    <s v="Kyein Ni Pyin"/>
    <m/>
    <m/>
    <m/>
    <n v="2658"/>
    <n v="940"/>
    <n v="1880"/>
    <n v="940"/>
    <n v="1718"/>
    <n v="940"/>
    <m/>
    <n v="1880"/>
    <n v="0"/>
    <n v="0"/>
    <n v="0"/>
    <n v="0"/>
    <n v="0"/>
    <n v="0"/>
    <n v="0"/>
    <n v="0"/>
    <n v="0"/>
    <n v="0"/>
    <n v="0"/>
    <s v="MMR012CMP018"/>
    <s v="Open"/>
  </r>
  <r>
    <x v="68"/>
    <n v="2013"/>
    <d v="2013-09-12T00:00:00"/>
    <x v="3"/>
    <s v="UNHCR"/>
    <x v="0"/>
    <x v="5"/>
    <s v="Thi Kyar"/>
    <m/>
    <m/>
    <m/>
    <n v="62"/>
    <m/>
    <n v="62"/>
    <n v="31"/>
    <n v="31"/>
    <n v="31"/>
    <m/>
    <n v="62"/>
    <n v="0"/>
    <n v="0"/>
    <n v="0"/>
    <n v="0"/>
    <n v="0"/>
    <n v="0"/>
    <n v="0"/>
    <n v="0"/>
    <n v="0"/>
    <n v="0"/>
    <n v="0"/>
    <s v="MMR012CMP117"/>
    <s v="Open"/>
  </r>
  <r>
    <x v="69"/>
    <n v="2013"/>
    <d v="2013-08-27T00:00:00"/>
    <x v="3"/>
    <s v="UNHCR"/>
    <x v="0"/>
    <x v="1"/>
    <s v="Ah Nauk Ywe"/>
    <m/>
    <m/>
    <m/>
    <n v="1652"/>
    <n v="99"/>
    <n v="1652"/>
    <n v="826"/>
    <n v="826"/>
    <n v="826"/>
    <m/>
    <n v="1652"/>
    <n v="0"/>
    <n v="0"/>
    <n v="0"/>
    <n v="0"/>
    <n v="0"/>
    <n v="0"/>
    <n v="0"/>
    <n v="0"/>
    <n v="0"/>
    <n v="0"/>
    <n v="0"/>
    <s v="MMR012CMP016"/>
    <s v="Open"/>
  </r>
  <r>
    <x v="70"/>
    <n v="2013"/>
    <d v="2013-08-13T00:00:00"/>
    <x v="3"/>
    <s v="UNHCR"/>
    <x v="0"/>
    <x v="1"/>
    <s v="Nget Chaung"/>
    <m/>
    <m/>
    <m/>
    <n v="0"/>
    <n v="203"/>
    <n v="0"/>
    <m/>
    <m/>
    <m/>
    <m/>
    <n v="448"/>
    <n v="0"/>
    <n v="0"/>
    <n v="0"/>
    <n v="0"/>
    <n v="0"/>
    <n v="0"/>
    <n v="0"/>
    <n v="0"/>
    <n v="0"/>
    <n v="0"/>
    <n v="0"/>
    <s v="MMR012CMP017"/>
    <s v="Open"/>
  </r>
  <r>
    <x v="71"/>
    <n v="2013"/>
    <d v="2013-08-08T00:00:00"/>
    <x v="3"/>
    <s v="UNHCR"/>
    <x v="0"/>
    <x v="7"/>
    <s v="Kan Thar Htwat Wa"/>
    <m/>
    <n v="44"/>
    <m/>
    <n v="88"/>
    <n v="44"/>
    <n v="88"/>
    <n v="44"/>
    <n v="44"/>
    <n v="44"/>
    <m/>
    <n v="88"/>
    <n v="0"/>
    <n v="0"/>
    <n v="0"/>
    <n v="0"/>
    <n v="0"/>
    <n v="0"/>
    <n v="0"/>
    <n v="0"/>
    <n v="0"/>
    <n v="0"/>
    <n v="0"/>
    <s v="MMR012CMP013"/>
    <s v="Open"/>
  </r>
  <r>
    <x v="71"/>
    <n v="2013"/>
    <d v="2013-08-08T00:00:00"/>
    <x v="3"/>
    <s v="UNHCR"/>
    <x v="0"/>
    <x v="7"/>
    <s v="Taung Paw "/>
    <m/>
    <n v="755"/>
    <m/>
    <n v="1510"/>
    <n v="755"/>
    <n v="1510"/>
    <n v="755"/>
    <n v="755"/>
    <n v="755"/>
    <m/>
    <n v="1510"/>
    <n v="0"/>
    <n v="0"/>
    <n v="0"/>
    <n v="0"/>
    <n v="0"/>
    <n v="0"/>
    <n v="0"/>
    <n v="0"/>
    <n v="0"/>
    <n v="0"/>
    <n v="0"/>
    <s v="MMR012CMP014"/>
    <s v="Open"/>
  </r>
  <r>
    <x v="72"/>
    <n v="2013"/>
    <d v="2013-07-10T00:00:00"/>
    <x v="3"/>
    <s v="UNHCR"/>
    <x v="0"/>
    <x v="4"/>
    <s v="San Htoe Tan"/>
    <m/>
    <m/>
    <m/>
    <n v="240"/>
    <m/>
    <n v="240"/>
    <n v="120"/>
    <n v="120"/>
    <n v="120"/>
    <m/>
    <n v="240"/>
    <n v="0"/>
    <n v="0"/>
    <n v="0"/>
    <n v="0"/>
    <n v="0"/>
    <n v="0"/>
    <n v="0"/>
    <n v="0"/>
    <n v="0"/>
    <n v="0"/>
    <n v="0"/>
    <s v="MMR012CMP003"/>
    <s v="Open"/>
  </r>
  <r>
    <x v="72"/>
    <n v="2013"/>
    <d v="2013-07-10T00:00:00"/>
    <x v="3"/>
    <s v="UNHCR"/>
    <x v="0"/>
    <x v="4"/>
    <s v="Tha Dar"/>
    <m/>
    <m/>
    <m/>
    <n v="428"/>
    <m/>
    <n v="428"/>
    <n v="214"/>
    <n v="214"/>
    <n v="214"/>
    <m/>
    <n v="428"/>
    <n v="0"/>
    <n v="0"/>
    <n v="0"/>
    <n v="0"/>
    <n v="0"/>
    <n v="0"/>
    <n v="0"/>
    <n v="0"/>
    <n v="0"/>
    <n v="0"/>
    <n v="0"/>
    <s v="MMR012CMP002"/>
    <s v="Open"/>
  </r>
  <r>
    <x v="73"/>
    <n v="2013"/>
    <d v="2013-07-09T00:00:00"/>
    <x v="3"/>
    <s v="UNHCR"/>
    <x v="0"/>
    <x v="4"/>
    <s v="Aung Taing"/>
    <m/>
    <m/>
    <m/>
    <n v="290"/>
    <n v="1312"/>
    <n v="290"/>
    <n v="145"/>
    <n v="145"/>
    <n v="145"/>
    <m/>
    <n v="290"/>
    <n v="0"/>
    <n v="0"/>
    <n v="0"/>
    <n v="0"/>
    <n v="0"/>
    <n v="0"/>
    <n v="0"/>
    <n v="0"/>
    <n v="0"/>
    <n v="0"/>
    <n v="0"/>
    <s v="MMR012CMP006"/>
    <s v="Open"/>
  </r>
  <r>
    <x v="73"/>
    <n v="2013"/>
    <d v="2013-07-09T00:00:00"/>
    <x v="3"/>
    <s v="UNHCR"/>
    <x v="0"/>
    <x v="4"/>
    <s v="Paik Thay"/>
    <m/>
    <m/>
    <m/>
    <n v="130"/>
    <n v="108"/>
    <n v="130"/>
    <n v="65"/>
    <n v="65"/>
    <n v="65"/>
    <m/>
    <n v="130"/>
    <n v="0"/>
    <n v="0"/>
    <n v="0"/>
    <n v="0"/>
    <n v="0"/>
    <n v="0"/>
    <n v="0"/>
    <n v="0"/>
    <n v="0"/>
    <n v="0"/>
    <n v="0"/>
    <s v="MMR012CMP001"/>
    <s v="Open"/>
  </r>
  <r>
    <x v="73"/>
    <n v="2013"/>
    <d v="2013-07-09T00:00:00"/>
    <x v="3"/>
    <s v="UNHCR"/>
    <x v="0"/>
    <x v="4"/>
    <s v="Sam Ba Le"/>
    <m/>
    <m/>
    <m/>
    <n v="490"/>
    <m/>
    <n v="490"/>
    <n v="245"/>
    <n v="245"/>
    <n v="245"/>
    <m/>
    <n v="490"/>
    <n v="0"/>
    <n v="0"/>
    <n v="0"/>
    <n v="0"/>
    <n v="0"/>
    <n v="0"/>
    <n v="0"/>
    <n v="0"/>
    <n v="0"/>
    <n v="0"/>
    <n v="0"/>
    <s v="MMR012CMP008"/>
    <s v="Open"/>
  </r>
  <r>
    <x v="73"/>
    <n v="2013"/>
    <d v="2013-07-09T00:00:00"/>
    <x v="3"/>
    <s v="UNHCR"/>
    <x v="0"/>
    <x v="4"/>
    <s v="Thay Kan"/>
    <m/>
    <n v="33"/>
    <m/>
    <n v="66"/>
    <n v="33"/>
    <n v="66"/>
    <n v="33"/>
    <n v="33"/>
    <n v="33"/>
    <m/>
    <n v="66"/>
    <n v="0"/>
    <n v="0"/>
    <n v="0"/>
    <n v="0"/>
    <n v="0"/>
    <n v="0"/>
    <n v="0"/>
    <n v="0"/>
    <n v="0"/>
    <n v="0"/>
    <n v="0"/>
    <s v="MMR012CMP007"/>
    <s v="Close"/>
  </r>
  <r>
    <x v="73"/>
    <n v="2013"/>
    <d v="2013-07-09T00:00:00"/>
    <x v="3"/>
    <s v="UNHCR"/>
    <x v="0"/>
    <x v="4"/>
    <s v="Thay Kan"/>
    <m/>
    <m/>
    <m/>
    <m/>
    <m/>
    <m/>
    <m/>
    <m/>
    <m/>
    <m/>
    <m/>
    <n v="0"/>
    <n v="0"/>
    <n v="0"/>
    <n v="0"/>
    <n v="0"/>
    <n v="0"/>
    <n v="0"/>
    <n v="0"/>
    <n v="0"/>
    <n v="0"/>
    <n v="0"/>
    <s v="MMR012CMP007"/>
    <s v="Close"/>
  </r>
  <r>
    <x v="74"/>
    <n v="2013"/>
    <d v="2013-07-06T00:00:00"/>
    <x v="3"/>
    <s v="UNHCR"/>
    <x v="0"/>
    <x v="5"/>
    <s v="Pa Rein"/>
    <m/>
    <m/>
    <m/>
    <n v="600"/>
    <n v="5"/>
    <n v="600"/>
    <n v="300"/>
    <n v="300"/>
    <n v="300"/>
    <m/>
    <n v="600"/>
    <n v="0"/>
    <n v="0"/>
    <n v="0"/>
    <n v="0"/>
    <n v="0"/>
    <n v="0"/>
    <n v="0"/>
    <n v="0"/>
    <n v="0"/>
    <n v="0"/>
    <n v="0"/>
    <s v="MMR012CMP009"/>
    <s v="Open"/>
  </r>
  <r>
    <x v="74"/>
    <n v="2013"/>
    <d v="2013-07-06T00:00:00"/>
    <x v="3"/>
    <s v="UNHCR"/>
    <x v="0"/>
    <x v="4"/>
    <s v="Tha Yet Oak"/>
    <m/>
    <m/>
    <m/>
    <n v="458"/>
    <m/>
    <n v="458"/>
    <n v="229"/>
    <n v="229"/>
    <n v="229"/>
    <m/>
    <n v="458"/>
    <n v="0"/>
    <n v="0"/>
    <n v="0"/>
    <n v="0"/>
    <n v="0"/>
    <n v="0"/>
    <n v="0"/>
    <n v="0"/>
    <n v="0"/>
    <n v="0"/>
    <n v="0"/>
    <s v="MMR012CMP005"/>
    <s v="Open"/>
  </r>
  <r>
    <x v="74"/>
    <n v="2013"/>
    <d v="2013-07-06T00:00:00"/>
    <x v="3"/>
    <s v="UNHCR"/>
    <x v="0"/>
    <x v="5"/>
    <s v="Yai Thei-Muslim"/>
    <m/>
    <m/>
    <m/>
    <n v="730"/>
    <m/>
    <n v="730"/>
    <n v="365"/>
    <n v="365"/>
    <n v="365"/>
    <m/>
    <n v="730"/>
    <n v="0"/>
    <n v="0"/>
    <n v="0"/>
    <n v="0"/>
    <n v="0"/>
    <n v="0"/>
    <n v="0"/>
    <n v="0"/>
    <n v="0"/>
    <n v="0"/>
    <n v="0"/>
    <s v="MMR012CMP010"/>
    <s v="Open"/>
  </r>
  <r>
    <x v="75"/>
    <n v="2013"/>
    <d v="2013-07-01T00:00:00"/>
    <x v="3"/>
    <s v="UNHCR"/>
    <x v="0"/>
    <x v="3"/>
    <s v="Ah Pauk Wa "/>
    <m/>
    <m/>
    <m/>
    <n v="224"/>
    <n v="400"/>
    <n v="224"/>
    <n v="112"/>
    <n v="112"/>
    <n v="112"/>
    <m/>
    <n v="224"/>
    <n v="0"/>
    <n v="0"/>
    <n v="0"/>
    <n v="0"/>
    <n v="0"/>
    <n v="0"/>
    <n v="0"/>
    <n v="0"/>
    <n v="0"/>
    <n v="0"/>
    <n v="0"/>
    <s v="MMR012CMP024"/>
    <s v="Open"/>
  </r>
  <r>
    <x v="75"/>
    <n v="2013"/>
    <d v="2013-07-01T00:00:00"/>
    <x v="3"/>
    <s v="UNHCR"/>
    <x v="0"/>
    <x v="3"/>
    <s v="Goke Pi Htaunt"/>
    <m/>
    <m/>
    <m/>
    <n v="232"/>
    <n v="220"/>
    <n v="232"/>
    <n v="116"/>
    <n v="116"/>
    <n v="116"/>
    <m/>
    <n v="232"/>
    <n v="0"/>
    <n v="0"/>
    <n v="0"/>
    <n v="0"/>
    <n v="0"/>
    <n v="0"/>
    <n v="0"/>
    <n v="0"/>
    <n v="0"/>
    <n v="0"/>
    <n v="0"/>
    <s v="MMR012CMP027"/>
    <s v="Open"/>
  </r>
  <r>
    <x v="75"/>
    <n v="2013"/>
    <d v="2013-07-01T00:00:00"/>
    <x v="3"/>
    <s v="UNHCR"/>
    <x v="0"/>
    <x v="3"/>
    <s v="In Bar Yi"/>
    <m/>
    <m/>
    <m/>
    <n v="460"/>
    <n v="145"/>
    <n v="460"/>
    <n v="230"/>
    <n v="230"/>
    <n v="230"/>
    <m/>
    <n v="460"/>
    <n v="0"/>
    <n v="0"/>
    <n v="0"/>
    <n v="0"/>
    <n v="0"/>
    <n v="0"/>
    <n v="0"/>
    <n v="0"/>
    <n v="0"/>
    <n v="0"/>
    <n v="0"/>
    <s v="MMR012CMP026"/>
    <s v="Open"/>
  </r>
  <r>
    <x v="75"/>
    <n v="2013"/>
    <d v="2013-07-01T00:00:00"/>
    <x v="3"/>
    <s v="UNHCR"/>
    <x v="0"/>
    <x v="3"/>
    <s v="Khaung Htoke"/>
    <m/>
    <m/>
    <m/>
    <n v="318"/>
    <n v="4"/>
    <n v="318"/>
    <n v="159"/>
    <n v="159"/>
    <n v="159"/>
    <m/>
    <n v="318"/>
    <n v="0"/>
    <n v="0"/>
    <n v="0"/>
    <n v="0"/>
    <n v="0"/>
    <n v="0"/>
    <n v="0"/>
    <n v="0"/>
    <n v="0"/>
    <n v="0"/>
    <n v="0"/>
    <s v="MMR012CMP030"/>
    <s v="Open"/>
  </r>
  <r>
    <x v="75"/>
    <n v="2013"/>
    <d v="2013-07-01T00:00:00"/>
    <x v="9"/>
    <s v="UNHCR"/>
    <x v="0"/>
    <x v="3"/>
    <s v="Let Saung Kauk"/>
    <m/>
    <m/>
    <n v="60"/>
    <m/>
    <m/>
    <m/>
    <m/>
    <m/>
    <m/>
    <m/>
    <m/>
    <n v="0"/>
    <n v="0"/>
    <n v="0"/>
    <n v="0"/>
    <n v="0"/>
    <n v="0"/>
    <n v="0"/>
    <n v="0"/>
    <n v="0"/>
    <n v="0"/>
    <n v="0"/>
    <s v="MMR012CMP020"/>
    <s v="Open"/>
  </r>
  <r>
    <x v="75"/>
    <n v="2013"/>
    <d v="2013-07-01T00:00:00"/>
    <x v="3"/>
    <s v="UNHCR"/>
    <x v="0"/>
    <x v="3"/>
    <s v="Let Saung Kauk"/>
    <m/>
    <m/>
    <m/>
    <n v="166"/>
    <n v="81"/>
    <n v="166"/>
    <n v="83"/>
    <n v="83"/>
    <n v="83"/>
    <m/>
    <n v="166"/>
    <n v="0"/>
    <n v="0"/>
    <n v="0"/>
    <n v="0"/>
    <n v="0"/>
    <n v="0"/>
    <n v="0"/>
    <n v="0"/>
    <n v="0"/>
    <n v="0"/>
    <n v="0"/>
    <s v="MMR012CMP020"/>
    <s v="Open"/>
  </r>
  <r>
    <x v="75"/>
    <n v="2013"/>
    <d v="2013-07-01T00:00:00"/>
    <x v="3"/>
    <s v="UNHCR"/>
    <x v="0"/>
    <x v="3"/>
    <s v="Nidin"/>
    <m/>
    <m/>
    <m/>
    <n v="326"/>
    <n v="326"/>
    <n v="326"/>
    <n v="163"/>
    <n v="163"/>
    <n v="163"/>
    <m/>
    <n v="326"/>
    <n v="0"/>
    <n v="0"/>
    <n v="0"/>
    <n v="0"/>
    <n v="0"/>
    <n v="0"/>
    <n v="0"/>
    <n v="0"/>
    <n v="0"/>
    <n v="0"/>
    <n v="0"/>
    <s v="MMR012CMP023"/>
    <s v="Open"/>
  </r>
  <r>
    <x v="75"/>
    <n v="2013"/>
    <d v="2013-07-01T00:00:00"/>
    <x v="3"/>
    <s v="UNHCR"/>
    <x v="0"/>
    <x v="3"/>
    <s v="Shwe Hlaing"/>
    <m/>
    <m/>
    <m/>
    <n v="290"/>
    <m/>
    <n v="290"/>
    <n v="145"/>
    <n v="145"/>
    <n v="145"/>
    <m/>
    <n v="290"/>
    <n v="0"/>
    <n v="0"/>
    <n v="0"/>
    <n v="0"/>
    <n v="0"/>
    <n v="0"/>
    <n v="0"/>
    <n v="0"/>
    <n v="0"/>
    <n v="0"/>
    <n v="0"/>
    <s v="MMR012CMP029"/>
    <s v="Open"/>
  </r>
  <r>
    <x v="75"/>
    <n v="2013"/>
    <d v="2013-07-01T00:00:00"/>
    <x v="3"/>
    <s v="UNHCR"/>
    <x v="0"/>
    <x v="3"/>
    <s v="Taung Bwe"/>
    <m/>
    <m/>
    <m/>
    <n v="190"/>
    <m/>
    <n v="190"/>
    <n v="95"/>
    <n v="95"/>
    <n v="95"/>
    <m/>
    <n v="190"/>
    <n v="0"/>
    <n v="0"/>
    <n v="0"/>
    <n v="0"/>
    <n v="0"/>
    <n v="0"/>
    <n v="0"/>
    <n v="0"/>
    <n v="0"/>
    <n v="0"/>
    <n v="0"/>
    <s v="MMR012CMP021"/>
    <s v="Open"/>
  </r>
  <r>
    <x v="75"/>
    <n v="2013"/>
    <d v="2013-07-01T00:00:00"/>
    <x v="3"/>
    <s v="UNHCR"/>
    <x v="0"/>
    <x v="3"/>
    <s v="Yun Nyar"/>
    <m/>
    <m/>
    <m/>
    <n v="216"/>
    <m/>
    <n v="216"/>
    <n v="108"/>
    <n v="108"/>
    <n v="108"/>
    <m/>
    <n v="216"/>
    <n v="0"/>
    <n v="0"/>
    <n v="0"/>
    <n v="0"/>
    <n v="0"/>
    <n v="0"/>
    <n v="0"/>
    <n v="0"/>
    <n v="0"/>
    <n v="0"/>
    <n v="0"/>
    <s v="MMR012CMP028"/>
    <s v="Open"/>
  </r>
  <r>
    <x v="75"/>
    <n v="2013"/>
    <d v="2013-07-01T00:00:00"/>
    <x v="3"/>
    <s v="UNHCR"/>
    <x v="0"/>
    <x v="3"/>
    <s v="Yun Nyar"/>
    <m/>
    <m/>
    <m/>
    <m/>
    <m/>
    <m/>
    <m/>
    <m/>
    <m/>
    <m/>
    <m/>
    <n v="0"/>
    <n v="0"/>
    <n v="0"/>
    <n v="0"/>
    <n v="0"/>
    <n v="0"/>
    <n v="0"/>
    <n v="0"/>
    <n v="0"/>
    <n v="0"/>
    <n v="0"/>
    <s v="MMR012CMP028"/>
    <s v="Open"/>
  </r>
  <r>
    <x v="76"/>
    <n v="2013"/>
    <d v="2013-06-26T00:00:00"/>
    <x v="10"/>
    <s v="Muslim Aid"/>
    <x v="0"/>
    <x v="0"/>
    <s v="Ohn Taw Gyi 1"/>
    <m/>
    <m/>
    <m/>
    <n v="273"/>
    <n v="273"/>
    <n v="273"/>
    <m/>
    <m/>
    <n v="273"/>
    <m/>
    <n v="273"/>
    <n v="0"/>
    <n v="0"/>
    <n v="0"/>
    <n v="0"/>
    <n v="0"/>
    <n v="0"/>
    <n v="0"/>
    <n v="0"/>
    <n v="0"/>
    <n v="0"/>
    <n v="0"/>
    <s v="MMR012CMP043"/>
    <s v="Close"/>
  </r>
  <r>
    <x v="76"/>
    <n v="2013"/>
    <d v="2013-06-26T00:00:00"/>
    <x v="10"/>
    <s v="Muslim Aid"/>
    <x v="0"/>
    <x v="0"/>
    <s v="Set Yone Su"/>
    <m/>
    <m/>
    <m/>
    <n v="20"/>
    <n v="20"/>
    <n v="20"/>
    <m/>
    <m/>
    <n v="20"/>
    <m/>
    <n v="20"/>
    <n v="0"/>
    <n v="0"/>
    <n v="0"/>
    <n v="0"/>
    <n v="0"/>
    <n v="0"/>
    <n v="0"/>
    <n v="0"/>
    <n v="0"/>
    <n v="0"/>
    <n v="0"/>
    <s v="MMR012CMP056"/>
    <s v="Open"/>
  </r>
  <r>
    <x v="76"/>
    <n v="2013"/>
    <d v="2013-06-26T00:00:00"/>
    <x v="10"/>
    <s v="Muslim Aid"/>
    <x v="0"/>
    <x v="0"/>
    <s v="Thae Chaung"/>
    <m/>
    <m/>
    <m/>
    <n v="2797"/>
    <n v="2797"/>
    <n v="2797"/>
    <m/>
    <m/>
    <n v="2797"/>
    <m/>
    <n v="2797"/>
    <n v="0"/>
    <n v="0"/>
    <n v="0"/>
    <n v="0"/>
    <n v="0"/>
    <n v="0"/>
    <n v="0"/>
    <n v="0"/>
    <n v="0"/>
    <n v="0"/>
    <n v="0"/>
    <s v="MMR012CMP046"/>
    <s v="Open"/>
  </r>
  <r>
    <x v="77"/>
    <n v="2013"/>
    <d v="2013-05-29T00:00:00"/>
    <x v="5"/>
    <s v="Save the Children"/>
    <x v="0"/>
    <x v="1"/>
    <s v="Ah Nauk Ywe"/>
    <n v="773"/>
    <m/>
    <m/>
    <m/>
    <m/>
    <m/>
    <m/>
    <m/>
    <m/>
    <m/>
    <m/>
    <n v="0"/>
    <n v="0"/>
    <n v="0"/>
    <n v="0"/>
    <n v="0"/>
    <n v="0"/>
    <n v="0"/>
    <n v="0"/>
    <n v="0"/>
    <n v="0"/>
    <n v="0"/>
    <s v="MMR012CMP016"/>
    <s v="Open"/>
  </r>
  <r>
    <x v="77"/>
    <n v="2013"/>
    <d v="2013-05-29T00:00:00"/>
    <x v="5"/>
    <s v="Save the Children"/>
    <x v="0"/>
    <x v="0"/>
    <s v="Bu May Ohn Taw"/>
    <n v="502"/>
    <m/>
    <m/>
    <m/>
    <m/>
    <m/>
    <m/>
    <m/>
    <m/>
    <m/>
    <m/>
    <n v="0"/>
    <n v="0"/>
    <n v="0"/>
    <n v="0"/>
    <n v="0"/>
    <n v="0"/>
    <n v="0"/>
    <n v="0"/>
    <n v="0"/>
    <n v="0"/>
    <n v="0"/>
    <s v="MMR012CMP051"/>
    <s v="Close"/>
  </r>
  <r>
    <x v="77"/>
    <n v="2013"/>
    <d v="2013-05-29T00:00:00"/>
    <x v="5"/>
    <s v="Save the Children"/>
    <x v="0"/>
    <x v="0"/>
    <s v="Hmanzi Junction"/>
    <n v="203"/>
    <m/>
    <m/>
    <m/>
    <m/>
    <m/>
    <m/>
    <m/>
    <m/>
    <m/>
    <m/>
    <n v="0"/>
    <n v="0"/>
    <n v="0"/>
    <n v="0"/>
    <n v="0"/>
    <n v="0"/>
    <n v="0"/>
    <n v="0"/>
    <n v="0"/>
    <n v="0"/>
    <n v="0"/>
    <s v="MMR012CMP049"/>
    <s v="Close"/>
  </r>
  <r>
    <x v="77"/>
    <n v="2013"/>
    <d v="2013-05-29T00:00:00"/>
    <x v="5"/>
    <s v="Save the Children"/>
    <x v="0"/>
    <x v="1"/>
    <s v="Nget Chaung"/>
    <n v="173"/>
    <m/>
    <m/>
    <m/>
    <m/>
    <m/>
    <m/>
    <m/>
    <m/>
    <m/>
    <m/>
    <n v="0"/>
    <n v="0"/>
    <n v="0"/>
    <n v="0"/>
    <n v="0"/>
    <n v="0"/>
    <n v="0"/>
    <n v="0"/>
    <n v="0"/>
    <n v="0"/>
    <n v="0"/>
    <s v="MMR012CMP017"/>
    <s v="Open"/>
  </r>
  <r>
    <x v="77"/>
    <n v="2013"/>
    <d v="2013-05-29T00:00:00"/>
    <x v="3"/>
    <m/>
    <x v="0"/>
    <x v="5"/>
    <s v="Raw Ma Ni Sin Oe"/>
    <n v="0"/>
    <m/>
    <m/>
    <n v="82"/>
    <m/>
    <n v="82"/>
    <n v="41"/>
    <n v="41"/>
    <n v="10"/>
    <m/>
    <n v="20"/>
    <n v="0"/>
    <n v="0"/>
    <n v="0"/>
    <n v="0"/>
    <n v="0"/>
    <n v="0"/>
    <n v="0"/>
    <n v="0"/>
    <n v="0"/>
    <n v="0"/>
    <n v="0"/>
    <s v="MMR012CMP012"/>
    <s v="Open"/>
  </r>
  <r>
    <x v="77"/>
    <n v="2013"/>
    <d v="2013-05-29T00:00:00"/>
    <x v="3"/>
    <s v="Solidarities International"/>
    <x v="0"/>
    <x v="0"/>
    <m/>
    <m/>
    <m/>
    <m/>
    <m/>
    <n v="1520"/>
    <m/>
    <m/>
    <m/>
    <m/>
    <m/>
    <m/>
    <n v="0"/>
    <n v="0"/>
    <n v="0"/>
    <n v="0"/>
    <n v="0"/>
    <n v="0"/>
    <n v="0"/>
    <n v="0"/>
    <n v="0"/>
    <n v="0"/>
    <n v="0"/>
    <s v=""/>
    <s v=""/>
  </r>
  <r>
    <x v="78"/>
    <n v="2013"/>
    <d v="2013-05-28T00:00:00"/>
    <x v="3"/>
    <m/>
    <x v="0"/>
    <x v="0"/>
    <s v="Bu May Ohn Taw"/>
    <m/>
    <m/>
    <m/>
    <m/>
    <n v="1315"/>
    <m/>
    <m/>
    <m/>
    <m/>
    <m/>
    <m/>
    <n v="0"/>
    <n v="0"/>
    <n v="0"/>
    <n v="0"/>
    <n v="0"/>
    <n v="0"/>
    <n v="0"/>
    <n v="0"/>
    <n v="0"/>
    <n v="0"/>
    <n v="0"/>
    <s v="MMR012CMP051"/>
    <s v="Close"/>
  </r>
  <r>
    <x v="78"/>
    <n v="2013"/>
    <d v="2013-05-28T00:00:00"/>
    <x v="3"/>
    <s v="UNHCR"/>
    <x v="0"/>
    <x v="0"/>
    <s v="Mingan"/>
    <m/>
    <m/>
    <m/>
    <m/>
    <n v="358"/>
    <m/>
    <m/>
    <m/>
    <m/>
    <m/>
    <m/>
    <n v="0"/>
    <n v="0"/>
    <n v="0"/>
    <n v="0"/>
    <n v="0"/>
    <n v="0"/>
    <n v="0"/>
    <n v="0"/>
    <n v="0"/>
    <n v="0"/>
    <n v="0"/>
    <s v="MMR012CMP054"/>
    <s v="Close"/>
  </r>
  <r>
    <x v="79"/>
    <n v="2013"/>
    <d v="2013-05-27T00:00:00"/>
    <x v="3"/>
    <s v="UNHCR"/>
    <x v="0"/>
    <x v="0"/>
    <s v="Hmanzi Junction"/>
    <m/>
    <m/>
    <m/>
    <m/>
    <n v="246"/>
    <m/>
    <m/>
    <m/>
    <m/>
    <m/>
    <m/>
    <n v="0"/>
    <n v="0"/>
    <n v="0"/>
    <n v="0"/>
    <n v="0"/>
    <n v="0"/>
    <n v="0"/>
    <n v="0"/>
    <n v="0"/>
    <n v="0"/>
    <n v="0"/>
    <s v="MMR012CMP049"/>
    <s v="Close"/>
  </r>
  <r>
    <x v="79"/>
    <n v="2013"/>
    <d v="2013-05-27T00:00:00"/>
    <x v="3"/>
    <m/>
    <x v="0"/>
    <x v="0"/>
    <s v="Khaung Doke Khar "/>
    <m/>
    <m/>
    <m/>
    <m/>
    <n v="86"/>
    <m/>
    <m/>
    <m/>
    <m/>
    <m/>
    <m/>
    <n v="0"/>
    <n v="0"/>
    <n v="0"/>
    <n v="0"/>
    <n v="0"/>
    <n v="0"/>
    <n v="0"/>
    <n v="0"/>
    <n v="0"/>
    <n v="0"/>
    <n v="0"/>
    <s v="MMR012CMP042"/>
    <s v="Open"/>
  </r>
  <r>
    <x v="80"/>
    <n v="2013"/>
    <d v="2013-05-23T00:00:00"/>
    <x v="5"/>
    <s v="Save the Children"/>
    <x v="0"/>
    <x v="0"/>
    <s v="Thet Kae Pyin "/>
    <n v="4795"/>
    <m/>
    <m/>
    <m/>
    <m/>
    <m/>
    <m/>
    <m/>
    <m/>
    <m/>
    <m/>
    <n v="0"/>
    <n v="0"/>
    <n v="0"/>
    <n v="0"/>
    <n v="0"/>
    <n v="0"/>
    <n v="0"/>
    <n v="0"/>
    <n v="0"/>
    <n v="0"/>
    <n v="0"/>
    <s v="MMR012CMP048"/>
    <s v="Open"/>
  </r>
  <r>
    <x v="81"/>
    <n v="2013"/>
    <d v="2013-05-22T00:00:00"/>
    <x v="5"/>
    <s v="Save the Children"/>
    <x v="0"/>
    <x v="1"/>
    <s v="Kyein Ni Pyin"/>
    <n v="903"/>
    <m/>
    <m/>
    <m/>
    <m/>
    <m/>
    <m/>
    <m/>
    <m/>
    <m/>
    <m/>
    <n v="0"/>
    <n v="0"/>
    <n v="0"/>
    <n v="0"/>
    <n v="0"/>
    <n v="0"/>
    <n v="0"/>
    <n v="0"/>
    <n v="0"/>
    <n v="0"/>
    <n v="0"/>
    <s v="MMR012CMP018"/>
    <s v="Open"/>
  </r>
  <r>
    <x v="82"/>
    <n v="2013"/>
    <d v="2013-04-30T00:00:00"/>
    <x v="3"/>
    <m/>
    <x v="0"/>
    <x v="1"/>
    <m/>
    <m/>
    <m/>
    <m/>
    <m/>
    <m/>
    <n v="1"/>
    <m/>
    <m/>
    <m/>
    <m/>
    <m/>
    <n v="0"/>
    <n v="0"/>
    <n v="0"/>
    <n v="0"/>
    <n v="0"/>
    <n v="0"/>
    <n v="0"/>
    <n v="0"/>
    <n v="0"/>
    <n v="0"/>
    <n v="0"/>
    <s v=""/>
    <s v=""/>
  </r>
  <r>
    <x v="83"/>
    <n v="2013"/>
    <d v="2013-04-29T00:00:00"/>
    <x v="3"/>
    <m/>
    <x v="0"/>
    <x v="6"/>
    <s v="Nyaung Pin Gyi"/>
    <n v="0"/>
    <n v="64"/>
    <m/>
    <n v="128"/>
    <n v="64"/>
    <n v="128"/>
    <n v="64"/>
    <n v="64"/>
    <n v="64"/>
    <m/>
    <n v="128"/>
    <n v="0"/>
    <n v="0"/>
    <n v="0"/>
    <n v="0"/>
    <n v="0"/>
    <n v="0"/>
    <n v="0"/>
    <n v="0"/>
    <n v="0"/>
    <n v="0"/>
    <n v="0"/>
    <s v="MMR012CMP031"/>
    <s v="Open"/>
  </r>
  <r>
    <x v="83"/>
    <n v="2013"/>
    <d v="2013-04-29T00:00:00"/>
    <x v="3"/>
    <m/>
    <x v="0"/>
    <x v="6"/>
    <s v="Nyaung Pin Gyi"/>
    <n v="0"/>
    <m/>
    <n v="128"/>
    <n v="128"/>
    <n v="64"/>
    <n v="0"/>
    <m/>
    <m/>
    <m/>
    <m/>
    <m/>
    <n v="0"/>
    <n v="0"/>
    <n v="0"/>
    <n v="0"/>
    <n v="0"/>
    <n v="0"/>
    <n v="0"/>
    <n v="0"/>
    <n v="0"/>
    <n v="0"/>
    <n v="0"/>
    <s v="MMR012CMP031"/>
    <s v="Open"/>
  </r>
  <r>
    <x v="84"/>
    <n v="2013"/>
    <d v="2013-04-26T00:00:00"/>
    <x v="5"/>
    <s v="Save the Children"/>
    <x v="0"/>
    <x v="1"/>
    <s v="Kyein Ni Pyin"/>
    <n v="1028"/>
    <m/>
    <m/>
    <m/>
    <m/>
    <m/>
    <m/>
    <m/>
    <m/>
    <m/>
    <m/>
    <n v="0"/>
    <n v="0"/>
    <n v="0"/>
    <n v="0"/>
    <n v="0"/>
    <n v="0"/>
    <n v="0"/>
    <n v="0"/>
    <n v="0"/>
    <n v="0"/>
    <n v="0"/>
    <s v="MMR012CMP018"/>
    <s v="Open"/>
  </r>
  <r>
    <x v="85"/>
    <n v="2013"/>
    <d v="2013-04-24T00:00:00"/>
    <x v="5"/>
    <s v="Save the Children"/>
    <x v="0"/>
    <x v="1"/>
    <s v="Nget Chaung"/>
    <n v="1338"/>
    <m/>
    <m/>
    <m/>
    <m/>
    <m/>
    <m/>
    <m/>
    <m/>
    <m/>
    <m/>
    <n v="0"/>
    <n v="0"/>
    <n v="0"/>
    <n v="0"/>
    <n v="0"/>
    <n v="0"/>
    <n v="0"/>
    <n v="0"/>
    <n v="0"/>
    <n v="0"/>
    <n v="0"/>
    <s v="MMR012CMP017"/>
    <s v="Open"/>
  </r>
  <r>
    <x v="86"/>
    <n v="2013"/>
    <d v="2013-04-12T00:00:00"/>
    <x v="3"/>
    <m/>
    <x v="0"/>
    <x v="0"/>
    <s v="Bu May Ohn Taw"/>
    <m/>
    <m/>
    <m/>
    <m/>
    <m/>
    <n v="54"/>
    <m/>
    <m/>
    <m/>
    <m/>
    <m/>
    <n v="0"/>
    <n v="0"/>
    <n v="0"/>
    <n v="0"/>
    <n v="0"/>
    <n v="0"/>
    <n v="0"/>
    <n v="0"/>
    <n v="0"/>
    <n v="0"/>
    <n v="0"/>
    <s v="MMR012CMP051"/>
    <s v="Close"/>
  </r>
  <r>
    <x v="87"/>
    <n v="2013"/>
    <d v="2013-04-10T00:00:00"/>
    <x v="3"/>
    <m/>
    <x v="0"/>
    <x v="0"/>
    <s v="Bu May Ohn Taw"/>
    <m/>
    <m/>
    <m/>
    <m/>
    <m/>
    <n v="90"/>
    <m/>
    <m/>
    <m/>
    <m/>
    <m/>
    <n v="0"/>
    <n v="0"/>
    <n v="0"/>
    <n v="0"/>
    <n v="0"/>
    <n v="0"/>
    <n v="0"/>
    <n v="0"/>
    <n v="0"/>
    <n v="0"/>
    <n v="0"/>
    <s v="MMR012CMP051"/>
    <s v="Close"/>
  </r>
  <r>
    <x v="88"/>
    <n v="2013"/>
    <d v="2013-04-09T00:00:00"/>
    <x v="3"/>
    <m/>
    <x v="0"/>
    <x v="0"/>
    <s v="Bu May Ohn Taw"/>
    <m/>
    <m/>
    <m/>
    <m/>
    <m/>
    <n v="90"/>
    <m/>
    <m/>
    <m/>
    <m/>
    <m/>
    <n v="0"/>
    <n v="0"/>
    <n v="0"/>
    <n v="0"/>
    <n v="0"/>
    <n v="0"/>
    <n v="0"/>
    <n v="0"/>
    <n v="0"/>
    <n v="0"/>
    <n v="0"/>
    <s v="MMR012CMP051"/>
    <s v="Close"/>
  </r>
  <r>
    <x v="88"/>
    <n v="2013"/>
    <d v="2013-04-09T00:00:00"/>
    <x v="11"/>
    <s v="Solidarities International"/>
    <x v="0"/>
    <x v="0"/>
    <s v="Dar Pai"/>
    <n v="186"/>
    <m/>
    <m/>
    <m/>
    <m/>
    <m/>
    <m/>
    <m/>
    <m/>
    <m/>
    <m/>
    <n v="0"/>
    <n v="0"/>
    <n v="0"/>
    <n v="0"/>
    <n v="0"/>
    <n v="0"/>
    <n v="0"/>
    <n v="0"/>
    <n v="0"/>
    <n v="0"/>
    <n v="0"/>
    <s v="MMR012CMP041"/>
    <s v="Open"/>
  </r>
  <r>
    <x v="89"/>
    <n v="2013"/>
    <d v="2013-04-05T00:00:00"/>
    <x v="3"/>
    <m/>
    <x v="0"/>
    <x v="0"/>
    <s v="Bu May Ohn Taw"/>
    <m/>
    <m/>
    <m/>
    <m/>
    <m/>
    <n v="90"/>
    <m/>
    <m/>
    <m/>
    <m/>
    <m/>
    <n v="0"/>
    <n v="0"/>
    <n v="0"/>
    <n v="0"/>
    <n v="0"/>
    <n v="0"/>
    <n v="0"/>
    <n v="0"/>
    <n v="0"/>
    <n v="0"/>
    <n v="0"/>
    <s v="MMR012CMP051"/>
    <s v="Close"/>
  </r>
  <r>
    <x v="90"/>
    <n v="2013"/>
    <d v="2013-04-04T00:00:00"/>
    <x v="3"/>
    <m/>
    <x v="0"/>
    <x v="0"/>
    <s v="Bu May Ohn Taw"/>
    <m/>
    <m/>
    <m/>
    <m/>
    <m/>
    <n v="45"/>
    <m/>
    <m/>
    <m/>
    <m/>
    <m/>
    <n v="0"/>
    <n v="0"/>
    <n v="0"/>
    <n v="0"/>
    <n v="0"/>
    <n v="0"/>
    <n v="0"/>
    <n v="0"/>
    <n v="0"/>
    <n v="0"/>
    <n v="0"/>
    <s v="MMR012CMP051"/>
    <s v="Close"/>
  </r>
  <r>
    <x v="91"/>
    <n v="2013"/>
    <d v="2013-04-03T00:00:00"/>
    <x v="3"/>
    <m/>
    <x v="0"/>
    <x v="0"/>
    <s v="Bu May Ohn Taw"/>
    <m/>
    <m/>
    <m/>
    <m/>
    <m/>
    <n v="45"/>
    <m/>
    <m/>
    <m/>
    <m/>
    <m/>
    <n v="0"/>
    <n v="0"/>
    <n v="0"/>
    <n v="0"/>
    <n v="0"/>
    <n v="0"/>
    <n v="0"/>
    <n v="0"/>
    <n v="0"/>
    <n v="0"/>
    <n v="0"/>
    <s v="MMR012CMP051"/>
    <s v="Close"/>
  </r>
  <r>
    <x v="92"/>
    <n v="2013"/>
    <d v="2013-04-02T00:00:00"/>
    <x v="5"/>
    <s v="Save the Children"/>
    <x v="0"/>
    <x v="0"/>
    <s v="Thet Kae Pyin "/>
    <n v="3100"/>
    <m/>
    <m/>
    <m/>
    <m/>
    <m/>
    <m/>
    <m/>
    <m/>
    <m/>
    <m/>
    <n v="0"/>
    <n v="0"/>
    <n v="0"/>
    <n v="0"/>
    <n v="0"/>
    <n v="0"/>
    <n v="0"/>
    <n v="0"/>
    <n v="0"/>
    <n v="0"/>
    <n v="0"/>
    <s v="MMR012CMP048"/>
    <s v="Open"/>
  </r>
  <r>
    <x v="93"/>
    <n v="2013"/>
    <d v="2013-03-14T00:00:00"/>
    <x v="3"/>
    <m/>
    <x v="0"/>
    <x v="6"/>
    <s v="Ah Nauk Pyin"/>
    <n v="0"/>
    <n v="68"/>
    <m/>
    <n v="136"/>
    <n v="68"/>
    <n v="136"/>
    <n v="68"/>
    <n v="68"/>
    <n v="68"/>
    <m/>
    <n v="136"/>
    <n v="0"/>
    <n v="0"/>
    <n v="0"/>
    <n v="0"/>
    <n v="0"/>
    <n v="0"/>
    <n v="0"/>
    <n v="0"/>
    <n v="0"/>
    <n v="0"/>
    <n v="0"/>
    <s v="MMR012CMP032"/>
    <s v="Open"/>
  </r>
  <r>
    <x v="93"/>
    <n v="2013"/>
    <d v="2013-03-14T00:00:00"/>
    <x v="3"/>
    <m/>
    <x v="0"/>
    <x v="6"/>
    <s v="Ah Nauk Pyin"/>
    <n v="0"/>
    <m/>
    <n v="136"/>
    <n v="136"/>
    <n v="68"/>
    <n v="0"/>
    <m/>
    <m/>
    <m/>
    <m/>
    <m/>
    <n v="0"/>
    <n v="0"/>
    <n v="0"/>
    <n v="0"/>
    <n v="0"/>
    <n v="0"/>
    <n v="0"/>
    <n v="0"/>
    <n v="0"/>
    <n v="0"/>
    <n v="0"/>
    <s v="MMR012CMP032"/>
    <s v="Open"/>
  </r>
  <r>
    <x v="93"/>
    <n v="2013"/>
    <d v="2013-03-14T00:00:00"/>
    <x v="3"/>
    <m/>
    <x v="0"/>
    <x v="2"/>
    <s v="Bomu Ywa"/>
    <n v="0"/>
    <n v="79"/>
    <m/>
    <n v="158"/>
    <n v="79"/>
    <n v="158"/>
    <n v="79"/>
    <n v="79"/>
    <n v="79"/>
    <m/>
    <n v="158"/>
    <n v="0"/>
    <n v="0"/>
    <n v="0"/>
    <n v="0"/>
    <n v="0"/>
    <n v="0"/>
    <n v="0"/>
    <n v="0"/>
    <n v="0"/>
    <n v="0"/>
    <n v="0"/>
    <s v="MMR012CMP084"/>
    <s v="Open"/>
  </r>
  <r>
    <x v="93"/>
    <n v="2013"/>
    <d v="2013-03-14T00:00:00"/>
    <x v="3"/>
    <m/>
    <x v="0"/>
    <x v="2"/>
    <s v="Bomu Ywa"/>
    <n v="0"/>
    <m/>
    <n v="158"/>
    <n v="292"/>
    <n v="79"/>
    <n v="0"/>
    <m/>
    <m/>
    <m/>
    <m/>
    <m/>
    <n v="0"/>
    <n v="0"/>
    <n v="0"/>
    <n v="0"/>
    <n v="0"/>
    <n v="0"/>
    <n v="0"/>
    <n v="0"/>
    <n v="0"/>
    <n v="0"/>
    <n v="0"/>
    <s v="MMR012CMP084"/>
    <s v="Open"/>
  </r>
  <r>
    <x v="93"/>
    <n v="2013"/>
    <d v="2013-03-14T00:00:00"/>
    <x v="4"/>
    <s v="DRC"/>
    <x v="0"/>
    <x v="0"/>
    <s v="Say Tha Mar Gyi"/>
    <n v="2907"/>
    <m/>
    <m/>
    <m/>
    <m/>
    <m/>
    <m/>
    <m/>
    <m/>
    <m/>
    <m/>
    <n v="0"/>
    <n v="0"/>
    <n v="0"/>
    <n v="0"/>
    <n v="0"/>
    <n v="0"/>
    <n v="0"/>
    <n v="0"/>
    <n v="0"/>
    <n v="0"/>
    <n v="0"/>
    <s v="MMR012CMP045"/>
    <s v="Open"/>
  </r>
  <r>
    <x v="94"/>
    <n v="2013"/>
    <d v="2013-03-05T00:00:00"/>
    <x v="3"/>
    <m/>
    <x v="0"/>
    <x v="2"/>
    <s v="Myoma Myauk"/>
    <n v="0"/>
    <n v="0"/>
    <n v="0"/>
    <n v="34"/>
    <n v="0"/>
    <n v="0"/>
    <m/>
    <m/>
    <m/>
    <m/>
    <m/>
    <n v="0"/>
    <n v="0"/>
    <n v="0"/>
    <n v="0"/>
    <n v="0"/>
    <n v="0"/>
    <n v="0"/>
    <n v="0"/>
    <n v="0"/>
    <n v="0"/>
    <n v="0"/>
    <s v=""/>
    <s v=""/>
  </r>
  <r>
    <x v="95"/>
    <n v="2013"/>
    <d v="2013-03-03T00:00:00"/>
    <x v="3"/>
    <m/>
    <x v="0"/>
    <x v="4"/>
    <s v="Thay Kan"/>
    <m/>
    <m/>
    <m/>
    <m/>
    <m/>
    <n v="33"/>
    <m/>
    <m/>
    <m/>
    <m/>
    <m/>
    <n v="0"/>
    <n v="0"/>
    <n v="0"/>
    <n v="0"/>
    <n v="0"/>
    <n v="0"/>
    <n v="0"/>
    <n v="0"/>
    <n v="0"/>
    <n v="0"/>
    <n v="0"/>
    <s v="MMR012CMP007"/>
    <s v="Close"/>
  </r>
  <r>
    <x v="96"/>
    <n v="2013"/>
    <d v="2013-03-01T00:00:00"/>
    <x v="3"/>
    <m/>
    <x v="0"/>
    <x v="2"/>
    <s v="Thaung Paing Nyar"/>
    <n v="0"/>
    <n v="51"/>
    <m/>
    <n v="102"/>
    <n v="51"/>
    <n v="102"/>
    <n v="51"/>
    <n v="51"/>
    <n v="51"/>
    <m/>
    <n v="102"/>
    <n v="0"/>
    <n v="0"/>
    <n v="0"/>
    <n v="0"/>
    <n v="0"/>
    <n v="0"/>
    <n v="0"/>
    <n v="0"/>
    <n v="0"/>
    <n v="0"/>
    <n v="0"/>
    <s v="MMR012CMP086"/>
    <s v="Open"/>
  </r>
  <r>
    <x v="96"/>
    <n v="2013"/>
    <d v="2013-03-01T00:00:00"/>
    <x v="3"/>
    <m/>
    <x v="0"/>
    <x v="2"/>
    <s v="Thaung Paing Nyar"/>
    <n v="0"/>
    <m/>
    <n v="102"/>
    <n v="156"/>
    <n v="51"/>
    <n v="0"/>
    <m/>
    <m/>
    <m/>
    <m/>
    <m/>
    <n v="0"/>
    <n v="0"/>
    <n v="0"/>
    <n v="0"/>
    <n v="0"/>
    <n v="0"/>
    <n v="0"/>
    <n v="0"/>
    <n v="0"/>
    <n v="0"/>
    <n v="0"/>
    <s v="MMR012CMP086"/>
    <s v="Open"/>
  </r>
  <r>
    <x v="97"/>
    <n v="2013"/>
    <d v="2013-02-27T00:00:00"/>
    <x v="3"/>
    <m/>
    <x v="0"/>
    <x v="2"/>
    <s v="Bomu Ywa"/>
    <n v="0"/>
    <n v="50"/>
    <m/>
    <n v="100"/>
    <n v="50"/>
    <n v="100"/>
    <n v="50"/>
    <n v="50"/>
    <n v="50"/>
    <m/>
    <n v="100"/>
    <n v="0"/>
    <n v="0"/>
    <n v="0"/>
    <n v="0"/>
    <n v="0"/>
    <n v="0"/>
    <n v="0"/>
    <n v="0"/>
    <n v="0"/>
    <n v="0"/>
    <n v="0"/>
    <s v="MMR012CMP084"/>
    <s v="Open"/>
  </r>
  <r>
    <x v="97"/>
    <n v="2013"/>
    <d v="2013-02-27T00:00:00"/>
    <x v="3"/>
    <m/>
    <x v="0"/>
    <x v="2"/>
    <s v="Bomu Ywa"/>
    <n v="0"/>
    <m/>
    <n v="100"/>
    <n v="171"/>
    <n v="50"/>
    <n v="0"/>
    <m/>
    <m/>
    <m/>
    <m/>
    <m/>
    <n v="0"/>
    <n v="0"/>
    <n v="0"/>
    <n v="0"/>
    <n v="0"/>
    <n v="0"/>
    <n v="0"/>
    <n v="0"/>
    <n v="0"/>
    <n v="0"/>
    <n v="0"/>
    <s v="MMR012CMP084"/>
    <s v="Open"/>
  </r>
  <r>
    <x v="97"/>
    <n v="2013"/>
    <d v="2013-02-27T00:00:00"/>
    <x v="10"/>
    <m/>
    <x v="0"/>
    <x v="0"/>
    <s v="Ohn Taw Gyi 1"/>
    <n v="0"/>
    <n v="800"/>
    <m/>
    <n v="1600"/>
    <n v="800"/>
    <n v="1600"/>
    <n v="800"/>
    <n v="800"/>
    <n v="800"/>
    <m/>
    <n v="1600"/>
    <n v="0"/>
    <n v="0"/>
    <n v="0"/>
    <n v="0"/>
    <n v="0"/>
    <n v="0"/>
    <n v="0"/>
    <n v="0"/>
    <n v="0"/>
    <n v="0"/>
    <n v="0"/>
    <s v="MMR012CMP043"/>
    <s v="Close"/>
  </r>
  <r>
    <x v="97"/>
    <n v="2013"/>
    <d v="2013-02-27T00:00:00"/>
    <x v="10"/>
    <m/>
    <x v="0"/>
    <x v="0"/>
    <s v="Ohn Taw Gyi 1"/>
    <n v="0"/>
    <m/>
    <m/>
    <m/>
    <m/>
    <m/>
    <m/>
    <m/>
    <m/>
    <m/>
    <m/>
    <n v="0"/>
    <n v="0"/>
    <n v="0"/>
    <n v="0"/>
    <n v="0"/>
    <n v="0"/>
    <n v="0"/>
    <n v="0"/>
    <n v="0"/>
    <n v="0"/>
    <n v="0"/>
    <s v="MMR012CMP043"/>
    <s v="Close"/>
  </r>
  <r>
    <x v="97"/>
    <n v="2013"/>
    <d v="2013-02-27T00:00:00"/>
    <x v="10"/>
    <m/>
    <x v="0"/>
    <x v="0"/>
    <s v="Set Yone Su"/>
    <n v="0"/>
    <n v="200"/>
    <m/>
    <n v="400"/>
    <n v="200"/>
    <n v="400"/>
    <n v="200"/>
    <n v="200"/>
    <n v="200"/>
    <m/>
    <n v="400"/>
    <n v="0"/>
    <n v="0"/>
    <n v="0"/>
    <n v="0"/>
    <n v="0"/>
    <n v="0"/>
    <n v="0"/>
    <n v="0"/>
    <n v="0"/>
    <n v="0"/>
    <n v="0"/>
    <s v="MMR012CMP056"/>
    <s v="Open"/>
  </r>
  <r>
    <x v="97"/>
    <n v="2013"/>
    <d v="2013-02-27T00:00:00"/>
    <x v="10"/>
    <m/>
    <x v="0"/>
    <x v="0"/>
    <s v="Set Yone Su"/>
    <n v="0"/>
    <m/>
    <m/>
    <m/>
    <m/>
    <m/>
    <m/>
    <m/>
    <m/>
    <m/>
    <m/>
    <n v="0"/>
    <n v="0"/>
    <n v="0"/>
    <n v="0"/>
    <n v="0"/>
    <n v="0"/>
    <n v="0"/>
    <n v="0"/>
    <n v="0"/>
    <n v="0"/>
    <n v="0"/>
    <s v="MMR012CMP056"/>
    <s v="Open"/>
  </r>
  <r>
    <x v="98"/>
    <n v="2013"/>
    <d v="2013-02-22T00:00:00"/>
    <x v="12"/>
    <m/>
    <x v="0"/>
    <x v="1"/>
    <s v="Ba Wan Chaung Wa Su"/>
    <n v="23"/>
    <n v="0"/>
    <m/>
    <m/>
    <m/>
    <m/>
    <m/>
    <m/>
    <m/>
    <m/>
    <m/>
    <n v="0"/>
    <n v="0"/>
    <n v="0"/>
    <n v="0"/>
    <n v="0"/>
    <n v="0"/>
    <n v="0"/>
    <n v="0"/>
    <n v="0"/>
    <n v="0"/>
    <n v="0"/>
    <s v="MMR012CMP015"/>
    <s v="Open"/>
  </r>
  <r>
    <x v="98"/>
    <n v="2013"/>
    <d v="2013-02-22T00:00:00"/>
    <x v="12"/>
    <m/>
    <x v="0"/>
    <x v="1"/>
    <s v="Nget Chaung"/>
    <n v="1306"/>
    <n v="0"/>
    <m/>
    <m/>
    <m/>
    <m/>
    <m/>
    <m/>
    <m/>
    <m/>
    <m/>
    <n v="0"/>
    <n v="0"/>
    <n v="0"/>
    <n v="0"/>
    <n v="0"/>
    <n v="0"/>
    <n v="0"/>
    <n v="0"/>
    <n v="0"/>
    <n v="0"/>
    <n v="0"/>
    <s v="MMR012CMP017"/>
    <s v="Open"/>
  </r>
  <r>
    <x v="98"/>
    <n v="2013"/>
    <d v="2013-02-22T00:00:00"/>
    <x v="3"/>
    <m/>
    <x v="0"/>
    <x v="2"/>
    <s v="Nyaung Pin Hla"/>
    <n v="0"/>
    <n v="15"/>
    <m/>
    <n v="30"/>
    <n v="15"/>
    <n v="30"/>
    <n v="15"/>
    <n v="15"/>
    <n v="15"/>
    <m/>
    <n v="30"/>
    <n v="0"/>
    <n v="0"/>
    <n v="0"/>
    <n v="0"/>
    <n v="0"/>
    <n v="0"/>
    <n v="0"/>
    <n v="0"/>
    <n v="0"/>
    <n v="0"/>
    <n v="0"/>
    <s v="MMR012CMP082"/>
    <s v="Open"/>
  </r>
  <r>
    <x v="98"/>
    <n v="2013"/>
    <d v="2013-02-22T00:00:00"/>
    <x v="3"/>
    <m/>
    <x v="0"/>
    <x v="2"/>
    <s v="Nyaung Pin Hla"/>
    <n v="0"/>
    <m/>
    <n v="30"/>
    <n v="52"/>
    <n v="15"/>
    <n v="0"/>
    <m/>
    <m/>
    <m/>
    <m/>
    <m/>
    <n v="0"/>
    <n v="0"/>
    <n v="0"/>
    <n v="0"/>
    <n v="0"/>
    <n v="0"/>
    <n v="0"/>
    <n v="0"/>
    <n v="0"/>
    <n v="0"/>
    <n v="0"/>
    <s v="MMR012CMP082"/>
    <s v="Open"/>
  </r>
  <r>
    <x v="99"/>
    <n v="2013"/>
    <d v="2013-02-21T00:00:00"/>
    <x v="11"/>
    <s v="Solidarities International"/>
    <x v="0"/>
    <x v="0"/>
    <s v="Thae Chaung"/>
    <n v="1542"/>
    <m/>
    <m/>
    <m/>
    <m/>
    <m/>
    <m/>
    <m/>
    <m/>
    <m/>
    <m/>
    <n v="0"/>
    <n v="0"/>
    <n v="0"/>
    <n v="0"/>
    <n v="0"/>
    <n v="0"/>
    <n v="0"/>
    <n v="0"/>
    <n v="0"/>
    <n v="0"/>
    <n v="0"/>
    <s v="MMR012CMP046"/>
    <s v="Open"/>
  </r>
  <r>
    <x v="100"/>
    <n v="2013"/>
    <d v="2013-02-15T00:00:00"/>
    <x v="12"/>
    <m/>
    <x v="0"/>
    <x v="4"/>
    <s v="Aung Taing"/>
    <n v="90"/>
    <m/>
    <m/>
    <m/>
    <m/>
    <m/>
    <m/>
    <m/>
    <m/>
    <m/>
    <m/>
    <n v="0"/>
    <n v="0"/>
    <n v="0"/>
    <n v="0"/>
    <n v="0"/>
    <n v="0"/>
    <n v="0"/>
    <n v="0"/>
    <n v="0"/>
    <n v="0"/>
    <n v="0"/>
    <s v="MMR012CMP006"/>
    <s v="Open"/>
  </r>
  <r>
    <x v="100"/>
    <n v="2013"/>
    <d v="2013-02-15T00:00:00"/>
    <x v="12"/>
    <m/>
    <x v="0"/>
    <x v="5"/>
    <s v="Myat Buddha Mandine Monastery"/>
    <n v="35"/>
    <m/>
    <m/>
    <m/>
    <m/>
    <m/>
    <m/>
    <m/>
    <m/>
    <m/>
    <m/>
    <n v="0"/>
    <n v="0"/>
    <n v="0"/>
    <n v="0"/>
    <n v="0"/>
    <n v="0"/>
    <n v="0"/>
    <n v="0"/>
    <n v="0"/>
    <n v="0"/>
    <n v="0"/>
    <s v="MMR012CMP011"/>
    <s v="Close"/>
  </r>
  <r>
    <x v="100"/>
    <n v="2013"/>
    <d v="2013-02-15T00:00:00"/>
    <x v="12"/>
    <m/>
    <x v="0"/>
    <x v="4"/>
    <s v="Nagara Pauktaw"/>
    <n v="230"/>
    <m/>
    <m/>
    <m/>
    <m/>
    <m/>
    <m/>
    <m/>
    <m/>
    <m/>
    <m/>
    <n v="0"/>
    <n v="0"/>
    <n v="0"/>
    <n v="0"/>
    <n v="0"/>
    <n v="0"/>
    <n v="0"/>
    <n v="0"/>
    <n v="0"/>
    <n v="0"/>
    <n v="0"/>
    <s v="MMR012CMP004"/>
    <s v="Close"/>
  </r>
  <r>
    <x v="100"/>
    <n v="2013"/>
    <d v="2013-02-15T00:00:00"/>
    <x v="12"/>
    <m/>
    <x v="0"/>
    <x v="5"/>
    <s v="Pa Rein"/>
    <n v="245"/>
    <m/>
    <m/>
    <m/>
    <m/>
    <m/>
    <m/>
    <m/>
    <m/>
    <m/>
    <m/>
    <n v="0"/>
    <n v="0"/>
    <n v="0"/>
    <n v="0"/>
    <n v="0"/>
    <n v="0"/>
    <n v="0"/>
    <n v="0"/>
    <n v="0"/>
    <n v="0"/>
    <n v="0"/>
    <s v="MMR012CMP009"/>
    <s v="Open"/>
  </r>
  <r>
    <x v="100"/>
    <n v="2013"/>
    <d v="2013-02-15T00:00:00"/>
    <x v="12"/>
    <m/>
    <x v="0"/>
    <x v="4"/>
    <s v="Paik Thay"/>
    <n v="20"/>
    <m/>
    <m/>
    <m/>
    <m/>
    <m/>
    <m/>
    <m/>
    <m/>
    <m/>
    <m/>
    <n v="0"/>
    <n v="0"/>
    <n v="0"/>
    <n v="0"/>
    <n v="0"/>
    <n v="0"/>
    <n v="0"/>
    <n v="0"/>
    <n v="0"/>
    <n v="0"/>
    <n v="0"/>
    <s v="MMR012CMP001"/>
    <s v="Open"/>
  </r>
  <r>
    <x v="100"/>
    <n v="2013"/>
    <d v="2013-02-15T00:00:00"/>
    <x v="12"/>
    <m/>
    <x v="0"/>
    <x v="4"/>
    <s v="Sam Ba Le"/>
    <n v="230"/>
    <m/>
    <m/>
    <m/>
    <m/>
    <m/>
    <m/>
    <m/>
    <m/>
    <m/>
    <m/>
    <n v="0"/>
    <n v="0"/>
    <n v="0"/>
    <n v="0"/>
    <n v="0"/>
    <n v="0"/>
    <n v="0"/>
    <n v="0"/>
    <n v="0"/>
    <n v="0"/>
    <n v="0"/>
    <s v="MMR012CMP008"/>
    <s v="Open"/>
  </r>
  <r>
    <x v="100"/>
    <n v="2013"/>
    <d v="2013-02-15T00:00:00"/>
    <x v="12"/>
    <m/>
    <x v="0"/>
    <x v="4"/>
    <s v="San Htoe Tan"/>
    <n v="90"/>
    <m/>
    <m/>
    <m/>
    <m/>
    <m/>
    <m/>
    <m/>
    <m/>
    <m/>
    <m/>
    <n v="0"/>
    <n v="0"/>
    <n v="0"/>
    <n v="0"/>
    <n v="0"/>
    <n v="0"/>
    <n v="0"/>
    <n v="0"/>
    <n v="0"/>
    <n v="0"/>
    <n v="0"/>
    <s v="MMR012CMP003"/>
    <s v="Open"/>
  </r>
  <r>
    <x v="100"/>
    <n v="2013"/>
    <d v="2013-02-15T00:00:00"/>
    <x v="12"/>
    <m/>
    <x v="0"/>
    <x v="4"/>
    <s v="Tha Dar"/>
    <n v="205"/>
    <m/>
    <m/>
    <m/>
    <m/>
    <m/>
    <m/>
    <m/>
    <m/>
    <m/>
    <m/>
    <n v="0"/>
    <n v="0"/>
    <n v="0"/>
    <n v="0"/>
    <n v="0"/>
    <n v="0"/>
    <n v="0"/>
    <n v="0"/>
    <n v="0"/>
    <n v="0"/>
    <n v="0"/>
    <s v="MMR012CMP002"/>
    <s v="Open"/>
  </r>
  <r>
    <x v="100"/>
    <n v="2013"/>
    <d v="2013-02-15T00:00:00"/>
    <x v="12"/>
    <m/>
    <x v="0"/>
    <x v="4"/>
    <s v="Thay Kan"/>
    <n v="35"/>
    <m/>
    <m/>
    <m/>
    <m/>
    <m/>
    <m/>
    <m/>
    <m/>
    <m/>
    <m/>
    <n v="0"/>
    <n v="0"/>
    <n v="0"/>
    <n v="0"/>
    <n v="0"/>
    <n v="0"/>
    <n v="0"/>
    <n v="0"/>
    <n v="0"/>
    <n v="0"/>
    <n v="0"/>
    <s v="MMR012CMP007"/>
    <s v="Close"/>
  </r>
  <r>
    <x v="100"/>
    <n v="2013"/>
    <d v="2013-02-15T00:00:00"/>
    <x v="12"/>
    <m/>
    <x v="0"/>
    <x v="5"/>
    <s v="Yai Thei-Muslim"/>
    <n v="360"/>
    <m/>
    <m/>
    <m/>
    <m/>
    <m/>
    <m/>
    <m/>
    <m/>
    <m/>
    <m/>
    <n v="0"/>
    <n v="0"/>
    <n v="0"/>
    <n v="0"/>
    <n v="0"/>
    <n v="0"/>
    <n v="0"/>
    <n v="0"/>
    <n v="0"/>
    <n v="0"/>
    <n v="0"/>
    <s v="MMR012CMP010"/>
    <s v="Open"/>
  </r>
  <r>
    <x v="101"/>
    <n v="2013"/>
    <d v="2013-02-14T00:00:00"/>
    <x v="3"/>
    <m/>
    <x v="0"/>
    <x v="2"/>
    <s v="Ywa thit Kay"/>
    <m/>
    <n v="20"/>
    <m/>
    <n v="40"/>
    <n v="20"/>
    <n v="40"/>
    <n v="20"/>
    <n v="20"/>
    <n v="20"/>
    <m/>
    <n v="40"/>
    <n v="0"/>
    <n v="0"/>
    <n v="0"/>
    <n v="0"/>
    <n v="0"/>
    <n v="0"/>
    <n v="0"/>
    <n v="0"/>
    <n v="0"/>
    <n v="0"/>
    <n v="0"/>
    <s v="MMR012CMP085"/>
    <s v="Open"/>
  </r>
  <r>
    <x v="101"/>
    <n v="2013"/>
    <d v="2013-02-14T00:00:00"/>
    <x v="3"/>
    <m/>
    <x v="0"/>
    <x v="2"/>
    <s v="Ywa thit Kay"/>
    <m/>
    <m/>
    <n v="40"/>
    <n v="81"/>
    <n v="20"/>
    <m/>
    <m/>
    <m/>
    <m/>
    <m/>
    <m/>
    <n v="0"/>
    <n v="0"/>
    <n v="0"/>
    <n v="0"/>
    <n v="0"/>
    <n v="0"/>
    <n v="0"/>
    <n v="0"/>
    <n v="0"/>
    <n v="0"/>
    <n v="0"/>
    <s v="MMR012CMP085"/>
    <s v="Open"/>
  </r>
  <r>
    <x v="102"/>
    <n v="2013"/>
    <d v="2013-02-08T00:00:00"/>
    <x v="12"/>
    <m/>
    <x v="0"/>
    <x v="8"/>
    <s v="Ka Nyin Taw"/>
    <n v="71"/>
    <m/>
    <m/>
    <m/>
    <m/>
    <m/>
    <m/>
    <m/>
    <m/>
    <m/>
    <m/>
    <n v="0"/>
    <n v="0"/>
    <n v="0"/>
    <n v="0"/>
    <n v="0"/>
    <n v="0"/>
    <n v="0"/>
    <n v="0"/>
    <n v="0"/>
    <n v="0"/>
    <n v="0"/>
    <s v="MMR012CMP036"/>
    <s v="Open"/>
  </r>
  <r>
    <x v="102"/>
    <n v="2013"/>
    <d v="2013-02-08T00:00:00"/>
    <x v="12"/>
    <m/>
    <x v="0"/>
    <x v="7"/>
    <s v="Kan Thar Htwat Wa"/>
    <n v="45"/>
    <m/>
    <m/>
    <m/>
    <m/>
    <m/>
    <m/>
    <m/>
    <m/>
    <m/>
    <m/>
    <n v="0"/>
    <n v="0"/>
    <n v="0"/>
    <n v="0"/>
    <n v="0"/>
    <n v="0"/>
    <n v="0"/>
    <n v="0"/>
    <n v="0"/>
    <n v="0"/>
    <n v="0"/>
    <s v="MMR012CMP013"/>
    <s v="Open"/>
  </r>
  <r>
    <x v="102"/>
    <n v="2013"/>
    <d v="2013-02-08T00:00:00"/>
    <x v="12"/>
    <m/>
    <x v="0"/>
    <x v="8"/>
    <s v="Kyauk Ta Lone"/>
    <n v="418"/>
    <m/>
    <m/>
    <m/>
    <m/>
    <m/>
    <m/>
    <m/>
    <m/>
    <m/>
    <m/>
    <n v="0"/>
    <n v="0"/>
    <n v="0"/>
    <n v="0"/>
    <n v="0"/>
    <n v="0"/>
    <n v="0"/>
    <n v="0"/>
    <n v="0"/>
    <n v="0"/>
    <n v="0"/>
    <s v="MMR012CMP035"/>
    <s v="Open"/>
  </r>
  <r>
    <x v="102"/>
    <n v="2013"/>
    <d v="2013-02-08T00:00:00"/>
    <x v="12"/>
    <m/>
    <x v="0"/>
    <x v="9"/>
    <s v="Ramree Town"/>
    <n v="24"/>
    <m/>
    <m/>
    <m/>
    <m/>
    <m/>
    <m/>
    <m/>
    <m/>
    <m/>
    <m/>
    <n v="0"/>
    <n v="0"/>
    <n v="0"/>
    <n v="0"/>
    <n v="0"/>
    <n v="0"/>
    <n v="0"/>
    <n v="0"/>
    <n v="0"/>
    <n v="0"/>
    <n v="0"/>
    <s v="MMR012CMP038"/>
    <s v="Open"/>
  </r>
  <r>
    <x v="102"/>
    <n v="2013"/>
    <d v="2013-02-08T00:00:00"/>
    <x v="12"/>
    <m/>
    <x v="0"/>
    <x v="9"/>
    <s v="Ramree Ward 6"/>
    <n v="97"/>
    <m/>
    <m/>
    <m/>
    <m/>
    <m/>
    <m/>
    <m/>
    <m/>
    <m/>
    <m/>
    <n v="0"/>
    <n v="0"/>
    <n v="0"/>
    <n v="0"/>
    <n v="0"/>
    <n v="0"/>
    <n v="0"/>
    <n v="0"/>
    <n v="0"/>
    <n v="0"/>
    <n v="0"/>
    <s v="MMR012CMP037"/>
    <s v="Open"/>
  </r>
  <r>
    <x v="102"/>
    <n v="2013"/>
    <d v="2013-02-08T00:00:00"/>
    <x v="12"/>
    <m/>
    <x v="0"/>
    <x v="7"/>
    <s v="Taung Paw "/>
    <n v="705"/>
    <m/>
    <m/>
    <m/>
    <m/>
    <m/>
    <m/>
    <m/>
    <m/>
    <m/>
    <m/>
    <n v="0"/>
    <n v="0"/>
    <n v="0"/>
    <n v="0"/>
    <n v="0"/>
    <n v="0"/>
    <n v="0"/>
    <n v="0"/>
    <n v="0"/>
    <n v="0"/>
    <n v="0"/>
    <s v="MMR012CMP014"/>
    <s v="Open"/>
  </r>
  <r>
    <x v="103"/>
    <n v="2013"/>
    <d v="2013-02-01T00:00:00"/>
    <x v="5"/>
    <s v="Save the Children"/>
    <x v="0"/>
    <x v="1"/>
    <s v="Ah Nauk Ywe"/>
    <n v="803"/>
    <m/>
    <m/>
    <m/>
    <m/>
    <m/>
    <m/>
    <m/>
    <m/>
    <m/>
    <m/>
    <n v="0"/>
    <n v="0"/>
    <n v="0"/>
    <n v="0"/>
    <n v="0"/>
    <n v="0"/>
    <n v="0"/>
    <n v="0"/>
    <n v="0"/>
    <n v="0"/>
    <n v="0"/>
    <s v="MMR012CMP016"/>
    <s v="Open"/>
  </r>
  <r>
    <x v="103"/>
    <n v="2013"/>
    <d v="2013-02-01T00:00:00"/>
    <x v="5"/>
    <s v="Save the Children"/>
    <x v="0"/>
    <x v="1"/>
    <s v="Kyein Ni Pyin"/>
    <n v="858"/>
    <m/>
    <m/>
    <m/>
    <m/>
    <m/>
    <m/>
    <m/>
    <m/>
    <m/>
    <m/>
    <n v="0"/>
    <n v="0"/>
    <n v="0"/>
    <n v="0"/>
    <n v="0"/>
    <n v="0"/>
    <n v="0"/>
    <n v="0"/>
    <n v="0"/>
    <n v="0"/>
    <n v="0"/>
    <s v="MMR012CMP018"/>
    <s v="Open"/>
  </r>
  <r>
    <x v="104"/>
    <n v="2013"/>
    <d v="2013-01-30T00:00:00"/>
    <x v="5"/>
    <s v="Save the Children"/>
    <x v="0"/>
    <x v="1"/>
    <s v="Sin Tet Maw"/>
    <n v="810"/>
    <m/>
    <m/>
    <m/>
    <m/>
    <m/>
    <m/>
    <m/>
    <m/>
    <m/>
    <m/>
    <n v="0"/>
    <n v="0"/>
    <n v="0"/>
    <n v="0"/>
    <n v="0"/>
    <n v="0"/>
    <n v="0"/>
    <n v="0"/>
    <n v="0"/>
    <n v="0"/>
    <n v="0"/>
    <s v="MMR012CMP019"/>
    <s v="Open"/>
  </r>
  <r>
    <x v="105"/>
    <n v="2013"/>
    <d v="2013-01-24T00:00:00"/>
    <x v="5"/>
    <s v="Save the Children"/>
    <x v="0"/>
    <x v="0"/>
    <s v="Thet Kae Pyin "/>
    <n v="3100"/>
    <m/>
    <m/>
    <m/>
    <m/>
    <m/>
    <m/>
    <m/>
    <m/>
    <m/>
    <m/>
    <n v="0"/>
    <n v="0"/>
    <n v="0"/>
    <n v="0"/>
    <n v="0"/>
    <n v="0"/>
    <n v="0"/>
    <n v="0"/>
    <n v="0"/>
    <n v="0"/>
    <n v="0"/>
    <s v="MMR012CMP048"/>
    <s v="Open"/>
  </r>
  <r>
    <x v="106"/>
    <n v="2013"/>
    <d v="2013-01-21T00:00:00"/>
    <x v="13"/>
    <s v="UNHCR"/>
    <x v="0"/>
    <x v="0"/>
    <s v="Ohn Taw Gyi 3"/>
    <m/>
    <m/>
    <m/>
    <m/>
    <m/>
    <n v="38"/>
    <m/>
    <m/>
    <m/>
    <m/>
    <m/>
    <n v="0"/>
    <n v="0"/>
    <n v="0"/>
    <n v="0"/>
    <n v="0"/>
    <n v="0"/>
    <n v="0"/>
    <n v="0"/>
    <n v="0"/>
    <n v="0"/>
    <n v="0"/>
    <s v="MMR012CMP090"/>
    <s v="Close"/>
  </r>
  <r>
    <x v="107"/>
    <n v="2013"/>
    <d v="2013-01-18T00:00:00"/>
    <x v="3"/>
    <m/>
    <x v="0"/>
    <x v="2"/>
    <s v="Du Than Dar"/>
    <m/>
    <n v="63"/>
    <m/>
    <n v="126"/>
    <n v="63"/>
    <n v="126"/>
    <n v="63"/>
    <n v="63"/>
    <n v="63"/>
    <m/>
    <n v="126"/>
    <n v="0"/>
    <n v="0"/>
    <n v="0"/>
    <n v="0"/>
    <n v="0"/>
    <n v="0"/>
    <n v="0"/>
    <n v="0"/>
    <n v="0"/>
    <n v="0"/>
    <n v="0"/>
    <s v="MMR012CMP088"/>
    <s v="Open"/>
  </r>
  <r>
    <x v="107"/>
    <n v="2013"/>
    <d v="2013-01-18T00:00:00"/>
    <x v="3"/>
    <m/>
    <x v="0"/>
    <x v="2"/>
    <s v="Du Than Dar"/>
    <m/>
    <m/>
    <n v="63"/>
    <n v="126"/>
    <n v="63"/>
    <n v="0"/>
    <m/>
    <m/>
    <m/>
    <m/>
    <m/>
    <n v="0"/>
    <n v="0"/>
    <n v="0"/>
    <n v="0"/>
    <n v="0"/>
    <n v="0"/>
    <n v="0"/>
    <n v="0"/>
    <n v="0"/>
    <n v="0"/>
    <n v="0"/>
    <s v="MMR012CMP088"/>
    <s v="Open"/>
  </r>
  <r>
    <x v="107"/>
    <n v="2013"/>
    <d v="2013-01-18T00:00:00"/>
    <x v="13"/>
    <s v="UNHCR"/>
    <x v="0"/>
    <x v="0"/>
    <s v="Ohn Taw Gyi 3"/>
    <m/>
    <m/>
    <m/>
    <m/>
    <m/>
    <n v="50"/>
    <m/>
    <m/>
    <m/>
    <m/>
    <m/>
    <n v="0"/>
    <n v="0"/>
    <n v="0"/>
    <n v="0"/>
    <n v="0"/>
    <n v="0"/>
    <n v="0"/>
    <n v="0"/>
    <n v="0"/>
    <n v="0"/>
    <n v="0"/>
    <s v="MMR012CMP090"/>
    <s v="Close"/>
  </r>
  <r>
    <x v="108"/>
    <n v="2013"/>
    <d v="2013-01-17T00:00:00"/>
    <x v="13"/>
    <s v="UNHCR"/>
    <x v="0"/>
    <x v="0"/>
    <s v="Ohn Taw Gyi 3"/>
    <m/>
    <m/>
    <m/>
    <m/>
    <m/>
    <n v="50"/>
    <m/>
    <m/>
    <m/>
    <m/>
    <m/>
    <n v="0"/>
    <n v="0"/>
    <n v="0"/>
    <n v="0"/>
    <n v="0"/>
    <n v="0"/>
    <n v="0"/>
    <n v="0"/>
    <n v="0"/>
    <n v="0"/>
    <n v="0"/>
    <s v="MMR012CMP090"/>
    <s v="Close"/>
  </r>
  <r>
    <x v="109"/>
    <n v="2013"/>
    <d v="2013-01-10T00:00:00"/>
    <x v="3"/>
    <m/>
    <x v="0"/>
    <x v="2"/>
    <s v="Lamber Gone Nah"/>
    <m/>
    <n v="56"/>
    <m/>
    <n v="112"/>
    <n v="56"/>
    <n v="112"/>
    <n v="56"/>
    <n v="56"/>
    <n v="56"/>
    <m/>
    <n v="112"/>
    <n v="0"/>
    <n v="0"/>
    <n v="0"/>
    <n v="0"/>
    <n v="0"/>
    <n v="0"/>
    <n v="0"/>
    <n v="0"/>
    <n v="0"/>
    <n v="0"/>
    <n v="0"/>
    <s v="MMR012CMP087"/>
    <s v="Close"/>
  </r>
  <r>
    <x v="109"/>
    <n v="2013"/>
    <d v="2013-01-10T00:00:00"/>
    <x v="3"/>
    <m/>
    <x v="0"/>
    <x v="2"/>
    <s v="Lamber Gone Nah"/>
    <m/>
    <m/>
    <n v="112"/>
    <n v="112"/>
    <n v="56"/>
    <n v="0"/>
    <m/>
    <m/>
    <m/>
    <m/>
    <m/>
    <n v="0"/>
    <n v="0"/>
    <n v="0"/>
    <n v="0"/>
    <n v="0"/>
    <n v="0"/>
    <n v="0"/>
    <n v="0"/>
    <n v="0"/>
    <n v="0"/>
    <n v="0"/>
    <s v="MMR012CMP087"/>
    <s v="Close"/>
  </r>
  <r>
    <x v="109"/>
    <n v="2013"/>
    <d v="2013-01-10T00:00:00"/>
    <x v="13"/>
    <s v="UNHCR"/>
    <x v="0"/>
    <x v="0"/>
    <s v="Ohn Taw Gyi 3"/>
    <m/>
    <m/>
    <m/>
    <m/>
    <m/>
    <n v="45"/>
    <m/>
    <m/>
    <m/>
    <m/>
    <m/>
    <n v="0"/>
    <n v="0"/>
    <n v="0"/>
    <n v="0"/>
    <n v="0"/>
    <n v="0"/>
    <n v="0"/>
    <n v="0"/>
    <n v="0"/>
    <n v="0"/>
    <n v="0"/>
    <s v="MMR012CMP090"/>
    <s v="Close"/>
  </r>
  <r>
    <x v="110"/>
    <n v="2013"/>
    <d v="2013-01-09T00:00:00"/>
    <x v="13"/>
    <s v="UNHCR"/>
    <x v="0"/>
    <x v="0"/>
    <s v="Ohn Taw Gyi 3"/>
    <m/>
    <m/>
    <m/>
    <m/>
    <m/>
    <n v="50"/>
    <m/>
    <m/>
    <m/>
    <m/>
    <m/>
    <n v="0"/>
    <n v="0"/>
    <n v="0"/>
    <n v="0"/>
    <n v="0"/>
    <n v="0"/>
    <n v="0"/>
    <n v="0"/>
    <n v="0"/>
    <n v="0"/>
    <n v="0"/>
    <s v="MMR012CMP090"/>
    <s v="Close"/>
  </r>
  <r>
    <x v="111"/>
    <n v="2013"/>
    <d v="2013-01-07T00:00:00"/>
    <x v="3"/>
    <m/>
    <x v="0"/>
    <x v="6"/>
    <s v="Ah Htet Nan Yar"/>
    <m/>
    <n v="228"/>
    <m/>
    <n v="456"/>
    <n v="228"/>
    <n v="456"/>
    <n v="228"/>
    <n v="228"/>
    <n v="228"/>
    <m/>
    <n v="456"/>
    <n v="0"/>
    <n v="0"/>
    <n v="0"/>
    <n v="0"/>
    <n v="0"/>
    <n v="0"/>
    <n v="0"/>
    <n v="0"/>
    <n v="0"/>
    <n v="0"/>
    <n v="0"/>
    <s v="MMR012CMP034"/>
    <s v="Open"/>
  </r>
  <r>
    <x v="111"/>
    <n v="2013"/>
    <d v="2013-01-07T00:00:00"/>
    <x v="3"/>
    <m/>
    <x v="0"/>
    <x v="6"/>
    <s v="Ah Htet Nan Yar"/>
    <m/>
    <m/>
    <n v="228"/>
    <n v="443"/>
    <n v="228"/>
    <n v="0"/>
    <m/>
    <m/>
    <m/>
    <m/>
    <m/>
    <n v="0"/>
    <n v="0"/>
    <n v="0"/>
    <n v="0"/>
    <n v="0"/>
    <n v="0"/>
    <n v="0"/>
    <n v="0"/>
    <n v="0"/>
    <n v="0"/>
    <n v="0"/>
    <s v="MMR012CMP034"/>
    <s v="Open"/>
  </r>
  <r>
    <x v="111"/>
    <n v="2013"/>
    <d v="2013-01-07T00:00:00"/>
    <x v="3"/>
    <m/>
    <x v="0"/>
    <x v="2"/>
    <s v="Myoma Myauk"/>
    <m/>
    <n v="93"/>
    <m/>
    <n v="186"/>
    <n v="93"/>
    <n v="186"/>
    <n v="93"/>
    <n v="93"/>
    <n v="93"/>
    <m/>
    <n v="186"/>
    <n v="0"/>
    <n v="0"/>
    <n v="0"/>
    <n v="0"/>
    <n v="0"/>
    <n v="0"/>
    <n v="0"/>
    <n v="0"/>
    <n v="0"/>
    <n v="0"/>
    <n v="0"/>
    <s v=""/>
    <s v=""/>
  </r>
  <r>
    <x v="111"/>
    <n v="2013"/>
    <d v="2013-01-07T00:00:00"/>
    <x v="3"/>
    <m/>
    <x v="0"/>
    <x v="2"/>
    <s v="Myoma Myauk"/>
    <m/>
    <m/>
    <n v="186"/>
    <n v="186"/>
    <n v="93"/>
    <n v="0"/>
    <m/>
    <m/>
    <m/>
    <m/>
    <m/>
    <n v="0"/>
    <n v="0"/>
    <n v="0"/>
    <n v="0"/>
    <n v="0"/>
    <n v="0"/>
    <n v="0"/>
    <n v="0"/>
    <n v="0"/>
    <n v="0"/>
    <n v="0"/>
    <s v=""/>
    <s v=""/>
  </r>
  <r>
    <x v="112"/>
    <n v="2013"/>
    <d v="2013-01-01T00:00:00"/>
    <x v="7"/>
    <s v="CDN"/>
    <x v="0"/>
    <x v="0"/>
    <s v="Basare"/>
    <n v="20"/>
    <m/>
    <m/>
    <m/>
    <m/>
    <m/>
    <m/>
    <m/>
    <m/>
    <m/>
    <m/>
    <n v="0"/>
    <n v="0"/>
    <n v="0"/>
    <n v="0"/>
    <n v="0"/>
    <n v="0"/>
    <n v="0"/>
    <n v="0"/>
    <n v="0"/>
    <n v="0"/>
    <n v="0"/>
    <s v="MMR012CMP039"/>
    <s v="Open"/>
  </r>
  <r>
    <x v="112"/>
    <n v="2013"/>
    <d v="2013-01-01T00:00:00"/>
    <x v="11"/>
    <s v="Solidarities International"/>
    <x v="0"/>
    <x v="0"/>
    <s v="Baw Du Pha"/>
    <n v="4390"/>
    <m/>
    <m/>
    <m/>
    <m/>
    <m/>
    <m/>
    <m/>
    <m/>
    <m/>
    <m/>
    <n v="0"/>
    <n v="0"/>
    <n v="0"/>
    <n v="0"/>
    <n v="0"/>
    <n v="0"/>
    <n v="0"/>
    <n v="0"/>
    <n v="0"/>
    <n v="0"/>
    <n v="0"/>
    <s v="MMR012CMP040"/>
    <s v="Close"/>
  </r>
  <r>
    <x v="112"/>
    <n v="2013"/>
    <d v="2013-01-01T00:00:00"/>
    <x v="11"/>
    <s v="Solidarities International"/>
    <x v="0"/>
    <x v="0"/>
    <s v="Dar Pai"/>
    <n v="3758"/>
    <m/>
    <m/>
    <m/>
    <m/>
    <m/>
    <m/>
    <m/>
    <m/>
    <m/>
    <m/>
    <n v="0"/>
    <n v="0"/>
    <n v="0"/>
    <n v="0"/>
    <n v="0"/>
    <n v="0"/>
    <n v="0"/>
    <n v="0"/>
    <n v="0"/>
    <n v="0"/>
    <n v="0"/>
    <s v="MMR012CMP041"/>
    <s v="Open"/>
  </r>
  <r>
    <x v="112"/>
    <n v="2013"/>
    <d v="2013-01-01T00:00:00"/>
    <x v="7"/>
    <s v="CDN"/>
    <x v="0"/>
    <x v="0"/>
    <s v="Khaung Doke Khar "/>
    <n v="722"/>
    <m/>
    <m/>
    <m/>
    <m/>
    <m/>
    <m/>
    <m/>
    <m/>
    <m/>
    <m/>
    <n v="0"/>
    <n v="0"/>
    <n v="0"/>
    <n v="0"/>
    <n v="0"/>
    <n v="0"/>
    <n v="0"/>
    <n v="0"/>
    <n v="0"/>
    <n v="0"/>
    <n v="0"/>
    <s v="MMR012CMP042"/>
    <s v="Open"/>
  </r>
  <r>
    <x v="112"/>
    <n v="2013"/>
    <d v="2013-01-01T00:00:00"/>
    <x v="14"/>
    <s v="ABCD"/>
    <x v="0"/>
    <x v="0"/>
    <s v="Mingan"/>
    <n v="80"/>
    <m/>
    <m/>
    <m/>
    <m/>
    <m/>
    <m/>
    <m/>
    <m/>
    <m/>
    <m/>
    <n v="0"/>
    <n v="0"/>
    <n v="0"/>
    <n v="0"/>
    <n v="0"/>
    <n v="0"/>
    <n v="0"/>
    <n v="0"/>
    <n v="0"/>
    <n v="0"/>
    <n v="0"/>
    <s v="MMR012CMP054"/>
    <s v="Close"/>
  </r>
  <r>
    <x v="112"/>
    <n v="2013"/>
    <d v="2013-01-01T00:00:00"/>
    <x v="14"/>
    <s v="ABCD"/>
    <x v="0"/>
    <x v="4"/>
    <s v="Myat Buddha Mandine Monastery"/>
    <n v="50"/>
    <m/>
    <m/>
    <m/>
    <m/>
    <m/>
    <m/>
    <m/>
    <m/>
    <m/>
    <m/>
    <n v="0"/>
    <n v="0"/>
    <n v="0"/>
    <n v="0"/>
    <n v="0"/>
    <n v="0"/>
    <n v="0"/>
    <n v="0"/>
    <n v="0"/>
    <n v="0"/>
    <n v="0"/>
    <s v="MMR012CMP011"/>
    <s v="Close"/>
  </r>
  <r>
    <x v="112"/>
    <n v="2013"/>
    <d v="2013-01-01T00:00:00"/>
    <x v="14"/>
    <s v="ABCD"/>
    <x v="0"/>
    <x v="0"/>
    <s v="Set Yone Su"/>
    <n v="220"/>
    <m/>
    <m/>
    <m/>
    <m/>
    <m/>
    <m/>
    <m/>
    <m/>
    <m/>
    <m/>
    <n v="0"/>
    <n v="0"/>
    <n v="0"/>
    <n v="0"/>
    <n v="0"/>
    <n v="0"/>
    <n v="0"/>
    <n v="0"/>
    <n v="0"/>
    <n v="0"/>
    <n v="0"/>
    <s v="MMR012CMP056"/>
    <s v="Open"/>
  </r>
  <r>
    <x v="112"/>
    <n v="2013"/>
    <d v="2013-01-01T00:00:00"/>
    <x v="11"/>
    <s v="Solidarities International"/>
    <x v="0"/>
    <x v="0"/>
    <s v="Set Yone Su"/>
    <n v="220"/>
    <m/>
    <m/>
    <m/>
    <m/>
    <m/>
    <m/>
    <m/>
    <m/>
    <m/>
    <m/>
    <n v="0"/>
    <n v="0"/>
    <n v="0"/>
    <n v="0"/>
    <n v="0"/>
    <n v="0"/>
    <n v="0"/>
    <n v="0"/>
    <n v="0"/>
    <n v="0"/>
    <n v="0"/>
    <s v="MMR012CMP056"/>
    <s v="Open"/>
  </r>
  <r>
    <x v="112"/>
    <n v="2013"/>
    <d v="2013-01-01T00:00:00"/>
    <x v="11"/>
    <s v="Solidarities International"/>
    <x v="0"/>
    <x v="0"/>
    <s v="Thae Chaung"/>
    <n v="2939"/>
    <m/>
    <m/>
    <m/>
    <m/>
    <m/>
    <m/>
    <m/>
    <m/>
    <m/>
    <m/>
    <n v="0"/>
    <n v="0"/>
    <n v="0"/>
    <n v="0"/>
    <n v="0"/>
    <n v="0"/>
    <n v="0"/>
    <n v="0"/>
    <n v="0"/>
    <n v="0"/>
    <n v="0"/>
    <s v="MMR012CMP046"/>
    <s v="Open"/>
  </r>
  <r>
    <x v="113"/>
    <n v="2012"/>
    <d v="2012-12-24T00:00:00"/>
    <x v="3"/>
    <m/>
    <x v="0"/>
    <x v="1"/>
    <s v="Ah Nauk Ywe"/>
    <m/>
    <m/>
    <m/>
    <m/>
    <n v="758"/>
    <m/>
    <m/>
    <m/>
    <m/>
    <m/>
    <m/>
    <n v="0"/>
    <n v="0"/>
    <n v="0"/>
    <n v="0"/>
    <n v="0"/>
    <n v="0"/>
    <n v="0"/>
    <n v="0"/>
    <n v="0"/>
    <n v="0"/>
    <n v="0"/>
    <s v="MMR012CMP016"/>
    <s v="Open"/>
  </r>
  <r>
    <x v="113"/>
    <n v="2012"/>
    <d v="2012-12-24T00:00:00"/>
    <x v="3"/>
    <m/>
    <x v="0"/>
    <x v="1"/>
    <s v="Nget Chaung"/>
    <m/>
    <m/>
    <m/>
    <m/>
    <n v="1306"/>
    <m/>
    <m/>
    <m/>
    <m/>
    <m/>
    <m/>
    <n v="0"/>
    <n v="0"/>
    <n v="0"/>
    <n v="0"/>
    <n v="0"/>
    <n v="0"/>
    <n v="0"/>
    <n v="0"/>
    <n v="0"/>
    <n v="0"/>
    <n v="0"/>
    <s v="MMR012CMP017"/>
    <s v="Open"/>
  </r>
  <r>
    <x v="113"/>
    <n v="2012"/>
    <d v="2012-12-24T00:00:00"/>
    <x v="3"/>
    <m/>
    <x v="0"/>
    <x v="1"/>
    <s v="Sin Tet Maw"/>
    <m/>
    <m/>
    <m/>
    <m/>
    <n v="796"/>
    <m/>
    <m/>
    <m/>
    <m/>
    <m/>
    <m/>
    <n v="0"/>
    <n v="0"/>
    <n v="0"/>
    <n v="0"/>
    <n v="0"/>
    <n v="0"/>
    <n v="0"/>
    <n v="0"/>
    <n v="0"/>
    <n v="0"/>
    <n v="0"/>
    <s v="MMR012CMP019"/>
    <s v="Open"/>
  </r>
  <r>
    <x v="114"/>
    <n v="2012"/>
    <d v="2012-12-23T00:00:00"/>
    <x v="3"/>
    <m/>
    <x v="0"/>
    <x v="2"/>
    <m/>
    <m/>
    <m/>
    <n v="3000"/>
    <m/>
    <m/>
    <m/>
    <m/>
    <m/>
    <m/>
    <m/>
    <m/>
    <n v="0"/>
    <n v="0"/>
    <n v="0"/>
    <n v="0"/>
    <n v="0"/>
    <n v="0"/>
    <n v="0"/>
    <n v="0"/>
    <n v="0"/>
    <n v="0"/>
    <n v="0"/>
    <s v=""/>
    <s v=""/>
  </r>
  <r>
    <x v="114"/>
    <n v="2012"/>
    <d v="2012-12-23T00:00:00"/>
    <x v="3"/>
    <m/>
    <x v="0"/>
    <x v="2"/>
    <m/>
    <m/>
    <m/>
    <m/>
    <m/>
    <n v="1180"/>
    <m/>
    <m/>
    <m/>
    <m/>
    <m/>
    <m/>
    <n v="0"/>
    <n v="0"/>
    <n v="0"/>
    <n v="0"/>
    <n v="0"/>
    <n v="0"/>
    <n v="0"/>
    <n v="0"/>
    <n v="0"/>
    <n v="0"/>
    <n v="0"/>
    <s v=""/>
    <s v=""/>
  </r>
  <r>
    <x v="115"/>
    <n v="2012"/>
    <d v="2012-12-18T00:00:00"/>
    <x v="3"/>
    <m/>
    <x v="0"/>
    <x v="3"/>
    <s v="Nidin"/>
    <m/>
    <m/>
    <m/>
    <n v="160"/>
    <n v="80"/>
    <n v="160"/>
    <n v="80"/>
    <n v="80"/>
    <m/>
    <m/>
    <m/>
    <n v="0"/>
    <n v="0"/>
    <n v="0"/>
    <n v="0"/>
    <n v="0"/>
    <n v="0"/>
    <n v="0"/>
    <n v="0"/>
    <n v="0"/>
    <n v="0"/>
    <n v="0"/>
    <s v="MMR012CMP023"/>
    <s v="Open"/>
  </r>
  <r>
    <x v="115"/>
    <n v="2012"/>
    <d v="2012-12-18T00:00:00"/>
    <x v="3"/>
    <m/>
    <x v="0"/>
    <x v="3"/>
    <s v="Taung Bwe"/>
    <m/>
    <m/>
    <m/>
    <n v="174"/>
    <m/>
    <n v="174"/>
    <m/>
    <m/>
    <m/>
    <m/>
    <m/>
    <n v="0"/>
    <n v="0"/>
    <n v="0"/>
    <n v="0"/>
    <n v="0"/>
    <n v="0"/>
    <n v="0"/>
    <n v="0"/>
    <n v="0"/>
    <n v="0"/>
    <n v="0"/>
    <s v="MMR012CMP021"/>
    <s v="Open"/>
  </r>
  <r>
    <x v="116"/>
    <n v="2012"/>
    <d v="2012-12-17T00:00:00"/>
    <x v="3"/>
    <m/>
    <x v="0"/>
    <x v="7"/>
    <s v="Taung Paw "/>
    <m/>
    <m/>
    <m/>
    <n v="632"/>
    <m/>
    <n v="632"/>
    <m/>
    <m/>
    <m/>
    <m/>
    <m/>
    <n v="0"/>
    <n v="0"/>
    <n v="0"/>
    <n v="0"/>
    <n v="0"/>
    <n v="0"/>
    <n v="0"/>
    <n v="0"/>
    <n v="0"/>
    <n v="0"/>
    <n v="0"/>
    <s v="MMR012CMP014"/>
    <s v="Open"/>
  </r>
  <r>
    <x v="116"/>
    <n v="2012"/>
    <d v="2012-12-17T00:00:00"/>
    <x v="3"/>
    <m/>
    <x v="0"/>
    <x v="4"/>
    <s v="Tha Dar"/>
    <m/>
    <m/>
    <m/>
    <n v="406"/>
    <m/>
    <m/>
    <m/>
    <m/>
    <m/>
    <m/>
    <m/>
    <n v="0"/>
    <n v="0"/>
    <n v="0"/>
    <n v="0"/>
    <n v="0"/>
    <n v="0"/>
    <n v="0"/>
    <n v="0"/>
    <n v="0"/>
    <n v="0"/>
    <n v="0"/>
    <s v="MMR012CMP002"/>
    <s v="Open"/>
  </r>
  <r>
    <x v="117"/>
    <n v="2012"/>
    <d v="2012-12-16T00:00:00"/>
    <x v="13"/>
    <s v="UNHCR"/>
    <x v="0"/>
    <x v="0"/>
    <s v="Hmanzi Junction"/>
    <m/>
    <m/>
    <m/>
    <m/>
    <m/>
    <n v="49"/>
    <m/>
    <m/>
    <m/>
    <m/>
    <m/>
    <n v="0"/>
    <n v="0"/>
    <n v="0"/>
    <n v="0"/>
    <n v="0"/>
    <n v="0"/>
    <n v="0"/>
    <n v="0"/>
    <n v="0"/>
    <n v="0"/>
    <n v="0"/>
    <s v="MMR012CMP049"/>
    <s v="Close"/>
  </r>
  <r>
    <x v="117"/>
    <n v="2012"/>
    <d v="2012-12-16T00:00:00"/>
    <x v="13"/>
    <s v="UNHCR"/>
    <x v="0"/>
    <x v="0"/>
    <s v="Hmanzi Junction"/>
    <m/>
    <m/>
    <m/>
    <m/>
    <m/>
    <n v="11"/>
    <m/>
    <m/>
    <m/>
    <m/>
    <m/>
    <n v="0"/>
    <n v="0"/>
    <n v="0"/>
    <n v="0"/>
    <n v="0"/>
    <n v="0"/>
    <n v="0"/>
    <n v="0"/>
    <n v="0"/>
    <n v="0"/>
    <n v="0"/>
    <s v="MMR012CMP049"/>
    <s v="Close"/>
  </r>
  <r>
    <x v="118"/>
    <n v="2012"/>
    <d v="2012-12-15T00:00:00"/>
    <x v="3"/>
    <m/>
    <x v="0"/>
    <x v="4"/>
    <s v="Aung Taing"/>
    <m/>
    <m/>
    <m/>
    <n v="172"/>
    <m/>
    <m/>
    <m/>
    <m/>
    <m/>
    <m/>
    <m/>
    <n v="0"/>
    <n v="0"/>
    <n v="0"/>
    <n v="0"/>
    <n v="0"/>
    <n v="0"/>
    <n v="0"/>
    <n v="0"/>
    <n v="0"/>
    <n v="0"/>
    <n v="0"/>
    <s v="MMR012CMP006"/>
    <s v="Open"/>
  </r>
  <r>
    <x v="118"/>
    <n v="2012"/>
    <d v="2012-12-15T00:00:00"/>
    <x v="3"/>
    <m/>
    <x v="0"/>
    <x v="4"/>
    <s v="Nagara Pauktaw"/>
    <m/>
    <m/>
    <m/>
    <m/>
    <m/>
    <n v="156"/>
    <m/>
    <m/>
    <m/>
    <m/>
    <m/>
    <n v="0"/>
    <n v="0"/>
    <n v="0"/>
    <n v="0"/>
    <n v="0"/>
    <n v="0"/>
    <n v="0"/>
    <n v="0"/>
    <n v="0"/>
    <n v="0"/>
    <n v="0"/>
    <s v="MMR012CMP004"/>
    <s v="Close"/>
  </r>
  <r>
    <x v="118"/>
    <n v="2012"/>
    <d v="2012-12-15T00:00:00"/>
    <x v="3"/>
    <m/>
    <x v="0"/>
    <x v="5"/>
    <s v="Pa Rein"/>
    <m/>
    <m/>
    <m/>
    <n v="240"/>
    <m/>
    <m/>
    <m/>
    <m/>
    <m/>
    <m/>
    <m/>
    <n v="0"/>
    <n v="0"/>
    <n v="0"/>
    <n v="0"/>
    <n v="0"/>
    <n v="0"/>
    <n v="0"/>
    <n v="0"/>
    <n v="0"/>
    <n v="0"/>
    <n v="0"/>
    <s v="MMR012CMP009"/>
    <s v="Open"/>
  </r>
  <r>
    <x v="118"/>
    <n v="2012"/>
    <d v="2012-12-15T00:00:00"/>
    <x v="3"/>
    <m/>
    <x v="0"/>
    <x v="4"/>
    <s v="Sam Ba Le"/>
    <m/>
    <m/>
    <m/>
    <n v="200"/>
    <m/>
    <m/>
    <m/>
    <m/>
    <m/>
    <m/>
    <m/>
    <n v="0"/>
    <n v="0"/>
    <n v="0"/>
    <n v="0"/>
    <n v="0"/>
    <n v="0"/>
    <n v="0"/>
    <n v="0"/>
    <n v="0"/>
    <n v="0"/>
    <n v="0"/>
    <s v="MMR012CMP008"/>
    <s v="Open"/>
  </r>
  <r>
    <x v="118"/>
    <n v="2012"/>
    <d v="2012-12-15T00:00:00"/>
    <x v="3"/>
    <m/>
    <x v="0"/>
    <x v="4"/>
    <s v="San Htoe Tan"/>
    <m/>
    <m/>
    <m/>
    <m/>
    <m/>
    <m/>
    <n v="86"/>
    <m/>
    <m/>
    <m/>
    <m/>
    <n v="0"/>
    <n v="0"/>
    <n v="0"/>
    <n v="0"/>
    <n v="0"/>
    <n v="0"/>
    <n v="0"/>
    <n v="0"/>
    <n v="0"/>
    <n v="0"/>
    <n v="0"/>
    <s v="MMR012CMP003"/>
    <s v="Open"/>
  </r>
  <r>
    <x v="118"/>
    <n v="2012"/>
    <d v="2012-12-15T00:00:00"/>
    <x v="3"/>
    <m/>
    <x v="0"/>
    <x v="4"/>
    <s v="Tha Dar"/>
    <m/>
    <m/>
    <m/>
    <m/>
    <m/>
    <n v="406"/>
    <m/>
    <m/>
    <m/>
    <m/>
    <m/>
    <n v="0"/>
    <n v="0"/>
    <n v="0"/>
    <n v="0"/>
    <n v="0"/>
    <n v="0"/>
    <n v="0"/>
    <n v="0"/>
    <n v="0"/>
    <n v="0"/>
    <n v="0"/>
    <s v="MMR012CMP002"/>
    <s v="Open"/>
  </r>
  <r>
    <x v="119"/>
    <n v="2012"/>
    <d v="2012-12-14T00:00:00"/>
    <x v="13"/>
    <s v="UNHCR"/>
    <x v="0"/>
    <x v="0"/>
    <s v="Hmanzi Junction"/>
    <m/>
    <m/>
    <m/>
    <m/>
    <m/>
    <n v="55"/>
    <m/>
    <m/>
    <m/>
    <m/>
    <m/>
    <n v="0"/>
    <n v="0"/>
    <n v="0"/>
    <n v="0"/>
    <n v="0"/>
    <n v="0"/>
    <n v="0"/>
    <n v="0"/>
    <n v="0"/>
    <n v="0"/>
    <n v="0"/>
    <s v="MMR012CMP049"/>
    <s v="Close"/>
  </r>
  <r>
    <x v="120"/>
    <n v="2012"/>
    <d v="2012-12-13T00:00:00"/>
    <x v="3"/>
    <m/>
    <x v="0"/>
    <x v="3"/>
    <s v="Ah Lel Kyun"/>
    <m/>
    <m/>
    <m/>
    <n v="180"/>
    <m/>
    <n v="180"/>
    <n v="90"/>
    <m/>
    <m/>
    <m/>
    <m/>
    <n v="0"/>
    <n v="0"/>
    <n v="0"/>
    <n v="0"/>
    <n v="0"/>
    <n v="0"/>
    <n v="0"/>
    <n v="0"/>
    <n v="0"/>
    <n v="0"/>
    <n v="0"/>
    <s v="MMR012CMP025"/>
    <s v="Open"/>
  </r>
  <r>
    <x v="120"/>
    <n v="2012"/>
    <d v="2012-12-13T00:00:00"/>
    <x v="3"/>
    <m/>
    <x v="0"/>
    <x v="3"/>
    <s v="Ah Pauk Wa "/>
    <m/>
    <m/>
    <m/>
    <m/>
    <m/>
    <m/>
    <m/>
    <n v="90"/>
    <m/>
    <m/>
    <m/>
    <n v="0"/>
    <n v="0"/>
    <n v="0"/>
    <n v="0"/>
    <n v="0"/>
    <n v="0"/>
    <n v="0"/>
    <n v="0"/>
    <n v="0"/>
    <n v="0"/>
    <n v="0"/>
    <s v="MMR012CMP024"/>
    <s v="Open"/>
  </r>
  <r>
    <x v="120"/>
    <n v="2012"/>
    <d v="2012-12-13T00:00:00"/>
    <x v="3"/>
    <m/>
    <x v="0"/>
    <x v="0"/>
    <s v="Basare"/>
    <m/>
    <m/>
    <n v="302"/>
    <m/>
    <m/>
    <m/>
    <m/>
    <m/>
    <m/>
    <m/>
    <m/>
    <n v="0"/>
    <n v="0"/>
    <n v="0"/>
    <n v="0"/>
    <n v="0"/>
    <n v="0"/>
    <n v="0"/>
    <n v="0"/>
    <n v="0"/>
    <n v="0"/>
    <n v="0"/>
    <s v="MMR012CMP039"/>
    <s v="Open"/>
  </r>
  <r>
    <x v="120"/>
    <n v="2012"/>
    <d v="2012-12-13T00:00:00"/>
    <x v="3"/>
    <m/>
    <x v="0"/>
    <x v="0"/>
    <s v="Baw Du Pha"/>
    <m/>
    <m/>
    <n v="2142"/>
    <m/>
    <m/>
    <m/>
    <m/>
    <m/>
    <m/>
    <m/>
    <m/>
    <n v="0"/>
    <n v="0"/>
    <n v="0"/>
    <n v="0"/>
    <n v="0"/>
    <n v="0"/>
    <n v="0"/>
    <n v="0"/>
    <n v="0"/>
    <n v="0"/>
    <n v="0"/>
    <s v="MMR012CMP040"/>
    <s v="Close"/>
  </r>
  <r>
    <x v="120"/>
    <n v="2012"/>
    <d v="2012-12-13T00:00:00"/>
    <x v="3"/>
    <m/>
    <x v="0"/>
    <x v="0"/>
    <s v="Dar Pai"/>
    <m/>
    <m/>
    <n v="1707"/>
    <m/>
    <m/>
    <m/>
    <m/>
    <m/>
    <m/>
    <m/>
    <m/>
    <n v="0"/>
    <n v="0"/>
    <n v="0"/>
    <n v="0"/>
    <n v="0"/>
    <n v="0"/>
    <n v="0"/>
    <n v="0"/>
    <n v="0"/>
    <n v="0"/>
    <n v="0"/>
    <s v="MMR012CMP041"/>
    <s v="Open"/>
  </r>
  <r>
    <x v="120"/>
    <n v="2012"/>
    <d v="2012-12-13T00:00:00"/>
    <x v="3"/>
    <m/>
    <x v="0"/>
    <x v="3"/>
    <s v="Goke Pi Htaunt"/>
    <m/>
    <m/>
    <m/>
    <n v="232"/>
    <m/>
    <n v="232"/>
    <n v="105"/>
    <n v="116"/>
    <m/>
    <m/>
    <m/>
    <n v="0"/>
    <n v="0"/>
    <n v="0"/>
    <n v="0"/>
    <n v="0"/>
    <n v="0"/>
    <n v="0"/>
    <n v="0"/>
    <n v="0"/>
    <n v="0"/>
    <n v="0"/>
    <s v="MMR012CMP027"/>
    <s v="Open"/>
  </r>
  <r>
    <x v="120"/>
    <n v="2012"/>
    <d v="2012-12-13T00:00:00"/>
    <x v="3"/>
    <m/>
    <x v="0"/>
    <x v="3"/>
    <s v="In Bar Yi"/>
    <m/>
    <m/>
    <m/>
    <n v="460"/>
    <m/>
    <n v="460"/>
    <n v="145"/>
    <m/>
    <m/>
    <m/>
    <m/>
    <n v="0"/>
    <n v="0"/>
    <n v="0"/>
    <n v="0"/>
    <n v="0"/>
    <n v="0"/>
    <n v="0"/>
    <n v="0"/>
    <n v="0"/>
    <n v="0"/>
    <n v="0"/>
    <s v="MMR012CMP026"/>
    <s v="Open"/>
  </r>
  <r>
    <x v="120"/>
    <n v="2012"/>
    <d v="2012-12-13T00:00:00"/>
    <x v="3"/>
    <m/>
    <x v="0"/>
    <x v="0"/>
    <s v="Khaung Doke Khar "/>
    <m/>
    <m/>
    <n v="310"/>
    <m/>
    <m/>
    <m/>
    <m/>
    <m/>
    <m/>
    <m/>
    <m/>
    <n v="0"/>
    <n v="0"/>
    <n v="0"/>
    <n v="0"/>
    <n v="0"/>
    <n v="0"/>
    <n v="0"/>
    <n v="0"/>
    <n v="0"/>
    <n v="0"/>
    <n v="0"/>
    <s v="MMR012CMP042"/>
    <s v="Open"/>
  </r>
  <r>
    <x v="120"/>
    <n v="2012"/>
    <d v="2012-12-13T00:00:00"/>
    <x v="3"/>
    <m/>
    <x v="0"/>
    <x v="3"/>
    <s v="Let Saung Kauk"/>
    <m/>
    <m/>
    <m/>
    <n v="36"/>
    <m/>
    <n v="36"/>
    <n v="18"/>
    <n v="18"/>
    <m/>
    <m/>
    <m/>
    <n v="0"/>
    <n v="0"/>
    <n v="0"/>
    <n v="0"/>
    <n v="0"/>
    <n v="0"/>
    <n v="0"/>
    <n v="0"/>
    <n v="0"/>
    <n v="0"/>
    <n v="0"/>
    <s v="MMR012CMP020"/>
    <s v="Open"/>
  </r>
  <r>
    <x v="120"/>
    <n v="2012"/>
    <d v="2012-12-13T00:00:00"/>
    <x v="3"/>
    <m/>
    <x v="0"/>
    <x v="0"/>
    <s v="Ohn Taw Gyi 1"/>
    <m/>
    <m/>
    <n v="65"/>
    <m/>
    <m/>
    <m/>
    <m/>
    <m/>
    <m/>
    <m/>
    <m/>
    <n v="0"/>
    <n v="0"/>
    <n v="0"/>
    <n v="0"/>
    <n v="0"/>
    <n v="0"/>
    <n v="0"/>
    <n v="0"/>
    <n v="0"/>
    <n v="0"/>
    <n v="0"/>
    <s v="MMR012CMP043"/>
    <s v="Close"/>
  </r>
  <r>
    <x v="120"/>
    <n v="2012"/>
    <d v="2012-12-13T00:00:00"/>
    <x v="3"/>
    <m/>
    <x v="0"/>
    <x v="4"/>
    <s v="Paik Thay"/>
    <m/>
    <m/>
    <m/>
    <n v="38"/>
    <m/>
    <n v="38"/>
    <n v="19"/>
    <m/>
    <m/>
    <m/>
    <m/>
    <n v="0"/>
    <n v="0"/>
    <n v="0"/>
    <n v="0"/>
    <n v="0"/>
    <n v="0"/>
    <n v="0"/>
    <n v="0"/>
    <n v="0"/>
    <n v="0"/>
    <n v="0"/>
    <s v="MMR012CMP001"/>
    <s v="Open"/>
  </r>
  <r>
    <x v="120"/>
    <n v="2012"/>
    <d v="2012-12-13T00:00:00"/>
    <x v="3"/>
    <m/>
    <x v="0"/>
    <x v="0"/>
    <s v="Phwe Yar Kone"/>
    <m/>
    <m/>
    <n v="374"/>
    <m/>
    <m/>
    <m/>
    <m/>
    <m/>
    <m/>
    <m/>
    <m/>
    <n v="0"/>
    <n v="0"/>
    <n v="0"/>
    <n v="0"/>
    <n v="0"/>
    <n v="0"/>
    <n v="0"/>
    <n v="0"/>
    <n v="0"/>
    <n v="0"/>
    <n v="0"/>
    <s v="MMR012CMP044"/>
    <s v="Close"/>
  </r>
  <r>
    <x v="120"/>
    <n v="2012"/>
    <d v="2012-12-13T00:00:00"/>
    <x v="3"/>
    <m/>
    <x v="0"/>
    <x v="0"/>
    <s v="Say Tha Mar Gyi"/>
    <m/>
    <m/>
    <n v="1460"/>
    <m/>
    <m/>
    <m/>
    <m/>
    <m/>
    <m/>
    <m/>
    <m/>
    <n v="0"/>
    <n v="0"/>
    <n v="0"/>
    <n v="0"/>
    <n v="0"/>
    <n v="0"/>
    <n v="0"/>
    <n v="0"/>
    <n v="0"/>
    <n v="0"/>
    <n v="0"/>
    <s v="MMR012CMP045"/>
    <s v="Open"/>
  </r>
  <r>
    <x v="120"/>
    <n v="2012"/>
    <d v="2012-12-13T00:00:00"/>
    <x v="3"/>
    <m/>
    <x v="0"/>
    <x v="3"/>
    <s v="Shwe Hlaing"/>
    <m/>
    <m/>
    <m/>
    <n v="290"/>
    <m/>
    <m/>
    <m/>
    <m/>
    <m/>
    <m/>
    <m/>
    <n v="0"/>
    <n v="0"/>
    <n v="0"/>
    <n v="0"/>
    <n v="0"/>
    <n v="0"/>
    <n v="0"/>
    <n v="0"/>
    <n v="0"/>
    <n v="0"/>
    <n v="0"/>
    <s v="MMR012CMP029"/>
    <s v="Open"/>
  </r>
  <r>
    <x v="120"/>
    <n v="2012"/>
    <d v="2012-12-13T00:00:00"/>
    <x v="3"/>
    <m/>
    <x v="0"/>
    <x v="3"/>
    <s v="Taung Bwe"/>
    <m/>
    <m/>
    <m/>
    <m/>
    <m/>
    <m/>
    <n v="87"/>
    <m/>
    <m/>
    <m/>
    <m/>
    <n v="0"/>
    <n v="0"/>
    <n v="0"/>
    <n v="0"/>
    <n v="0"/>
    <n v="0"/>
    <n v="0"/>
    <n v="0"/>
    <n v="0"/>
    <n v="0"/>
    <n v="0"/>
    <s v="MMR012CMP021"/>
    <s v="Open"/>
  </r>
  <r>
    <x v="120"/>
    <n v="2012"/>
    <d v="2012-12-13T00:00:00"/>
    <x v="3"/>
    <m/>
    <x v="0"/>
    <x v="4"/>
    <s v="Tha Dar"/>
    <m/>
    <m/>
    <m/>
    <m/>
    <m/>
    <m/>
    <n v="203"/>
    <m/>
    <m/>
    <m/>
    <m/>
    <n v="0"/>
    <n v="0"/>
    <n v="0"/>
    <n v="0"/>
    <n v="0"/>
    <n v="0"/>
    <n v="0"/>
    <n v="0"/>
    <n v="0"/>
    <n v="0"/>
    <n v="0"/>
    <s v="MMR012CMP002"/>
    <s v="Open"/>
  </r>
  <r>
    <x v="120"/>
    <n v="2012"/>
    <d v="2012-12-13T00:00:00"/>
    <x v="3"/>
    <m/>
    <x v="0"/>
    <x v="0"/>
    <s v="Thae Chaung"/>
    <m/>
    <m/>
    <n v="2813"/>
    <m/>
    <m/>
    <m/>
    <m/>
    <m/>
    <m/>
    <m/>
    <m/>
    <n v="0"/>
    <n v="0"/>
    <n v="0"/>
    <n v="0"/>
    <n v="0"/>
    <n v="0"/>
    <n v="0"/>
    <n v="0"/>
    <n v="0"/>
    <n v="0"/>
    <n v="0"/>
    <s v="MMR012CMP046"/>
    <s v="Open"/>
  </r>
  <r>
    <x v="120"/>
    <n v="2012"/>
    <d v="2012-12-13T00:00:00"/>
    <x v="3"/>
    <m/>
    <x v="0"/>
    <x v="0"/>
    <s v="Thet Kae Pyin "/>
    <m/>
    <m/>
    <n v="1900"/>
    <m/>
    <m/>
    <m/>
    <m/>
    <m/>
    <m/>
    <m/>
    <m/>
    <n v="0"/>
    <n v="0"/>
    <n v="0"/>
    <n v="0"/>
    <n v="0"/>
    <n v="0"/>
    <n v="0"/>
    <n v="0"/>
    <n v="0"/>
    <n v="0"/>
    <n v="0"/>
    <s v="MMR012CMP048"/>
    <s v="Open"/>
  </r>
  <r>
    <x v="120"/>
    <n v="2012"/>
    <d v="2012-12-13T00:00:00"/>
    <x v="3"/>
    <m/>
    <x v="0"/>
    <x v="3"/>
    <s v="Yun Nyar"/>
    <m/>
    <m/>
    <m/>
    <n v="214"/>
    <m/>
    <n v="214"/>
    <n v="107"/>
    <n v="107"/>
    <m/>
    <m/>
    <m/>
    <n v="0"/>
    <n v="0"/>
    <n v="0"/>
    <n v="0"/>
    <n v="0"/>
    <n v="0"/>
    <n v="0"/>
    <n v="0"/>
    <n v="0"/>
    <n v="0"/>
    <n v="0"/>
    <s v="MMR012CMP028"/>
    <s v="Open"/>
  </r>
  <r>
    <x v="121"/>
    <n v="2012"/>
    <d v="2012-12-12T00:00:00"/>
    <x v="13"/>
    <s v="UNHCR"/>
    <x v="0"/>
    <x v="0"/>
    <s v="Hmanzi Junction"/>
    <m/>
    <m/>
    <m/>
    <m/>
    <m/>
    <n v="50"/>
    <m/>
    <m/>
    <m/>
    <m/>
    <m/>
    <n v="0"/>
    <n v="0"/>
    <n v="0"/>
    <n v="0"/>
    <n v="0"/>
    <n v="0"/>
    <n v="0"/>
    <n v="0"/>
    <n v="0"/>
    <n v="0"/>
    <n v="0"/>
    <s v="MMR012CMP049"/>
    <s v="Close"/>
  </r>
  <r>
    <x v="121"/>
    <n v="2012"/>
    <d v="2012-12-12T00:00:00"/>
    <x v="3"/>
    <m/>
    <x v="0"/>
    <x v="0"/>
    <s v="Ma Gyi Myaing"/>
    <m/>
    <m/>
    <n v="85"/>
    <m/>
    <m/>
    <m/>
    <m/>
    <m/>
    <m/>
    <m/>
    <m/>
    <n v="0"/>
    <n v="0"/>
    <n v="0"/>
    <n v="0"/>
    <n v="0"/>
    <n v="0"/>
    <n v="0"/>
    <n v="0"/>
    <n v="0"/>
    <n v="0"/>
    <n v="0"/>
    <s v="MMR012CMP053"/>
    <s v="Close"/>
  </r>
  <r>
    <x v="121"/>
    <n v="2012"/>
    <d v="2012-12-12T00:00:00"/>
    <x v="3"/>
    <m/>
    <x v="0"/>
    <x v="0"/>
    <s v="Mingan"/>
    <m/>
    <m/>
    <n v="53"/>
    <m/>
    <m/>
    <m/>
    <m/>
    <m/>
    <m/>
    <m/>
    <m/>
    <n v="0"/>
    <n v="0"/>
    <n v="0"/>
    <n v="0"/>
    <n v="0"/>
    <n v="0"/>
    <n v="0"/>
    <n v="0"/>
    <n v="0"/>
    <n v="0"/>
    <n v="0"/>
    <s v="MMR012CMP054"/>
    <s v="Close"/>
  </r>
  <r>
    <x v="121"/>
    <n v="2012"/>
    <d v="2012-12-12T00:00:00"/>
    <x v="3"/>
    <m/>
    <x v="0"/>
    <x v="0"/>
    <s v="Set Yone Su"/>
    <m/>
    <m/>
    <n v="195"/>
    <m/>
    <m/>
    <m/>
    <m/>
    <m/>
    <m/>
    <m/>
    <m/>
    <n v="0"/>
    <n v="0"/>
    <n v="0"/>
    <n v="0"/>
    <n v="0"/>
    <n v="0"/>
    <n v="0"/>
    <n v="0"/>
    <n v="0"/>
    <n v="0"/>
    <n v="0"/>
    <s v="MMR012CMP056"/>
    <s v="Open"/>
  </r>
  <r>
    <x v="122"/>
    <n v="2012"/>
    <d v="2012-12-10T00:00:00"/>
    <x v="3"/>
    <m/>
    <x v="0"/>
    <x v="8"/>
    <s v="Ka Nyin Taw"/>
    <m/>
    <m/>
    <m/>
    <n v="170"/>
    <n v="85"/>
    <n v="170"/>
    <n v="85"/>
    <m/>
    <m/>
    <m/>
    <m/>
    <n v="0"/>
    <n v="0"/>
    <n v="0"/>
    <n v="0"/>
    <n v="0"/>
    <n v="0"/>
    <n v="0"/>
    <n v="0"/>
    <n v="0"/>
    <n v="0"/>
    <n v="0"/>
    <s v="MMR012CMP036"/>
    <s v="Open"/>
  </r>
  <r>
    <x v="122"/>
    <n v="2012"/>
    <d v="2012-12-10T00:00:00"/>
    <x v="3"/>
    <m/>
    <x v="0"/>
    <x v="8"/>
    <s v="Kyauk Ta Lone"/>
    <m/>
    <m/>
    <m/>
    <n v="826"/>
    <n v="213"/>
    <n v="826"/>
    <n v="413"/>
    <m/>
    <m/>
    <m/>
    <m/>
    <n v="0"/>
    <n v="0"/>
    <n v="0"/>
    <n v="0"/>
    <n v="0"/>
    <n v="0"/>
    <n v="0"/>
    <n v="0"/>
    <n v="0"/>
    <n v="0"/>
    <n v="0"/>
    <s v="MMR012CMP035"/>
    <s v="Open"/>
  </r>
  <r>
    <x v="123"/>
    <n v="2012"/>
    <d v="2012-12-05T00:00:00"/>
    <x v="13"/>
    <s v="UNHCR"/>
    <x v="0"/>
    <x v="0"/>
    <s v="Hmanzi Junction"/>
    <m/>
    <m/>
    <m/>
    <m/>
    <m/>
    <n v="50"/>
    <m/>
    <m/>
    <m/>
    <m/>
    <m/>
    <n v="0"/>
    <n v="0"/>
    <n v="0"/>
    <n v="0"/>
    <n v="0"/>
    <n v="0"/>
    <n v="0"/>
    <n v="0"/>
    <n v="0"/>
    <n v="0"/>
    <n v="0"/>
    <s v="MMR012CMP049"/>
    <s v="Close"/>
  </r>
  <r>
    <x v="124"/>
    <n v="2012"/>
    <d v="2012-12-03T00:00:00"/>
    <x v="13"/>
    <s v="UNHCR"/>
    <x v="0"/>
    <x v="0"/>
    <s v="Thet Kae Pyin "/>
    <m/>
    <m/>
    <m/>
    <m/>
    <m/>
    <n v="92"/>
    <m/>
    <m/>
    <m/>
    <m/>
    <m/>
    <n v="0"/>
    <n v="0"/>
    <n v="0"/>
    <n v="0"/>
    <n v="0"/>
    <n v="0"/>
    <n v="0"/>
    <n v="0"/>
    <n v="0"/>
    <n v="0"/>
    <n v="0"/>
    <s v="MMR012CMP048"/>
    <s v="Open"/>
  </r>
  <r>
    <x v="125"/>
    <n v="2012"/>
    <d v="2012-11-30T00:00:00"/>
    <x v="3"/>
    <m/>
    <x v="0"/>
    <x v="4"/>
    <s v="Aung Taing"/>
    <m/>
    <m/>
    <m/>
    <m/>
    <m/>
    <n v="172"/>
    <n v="46"/>
    <m/>
    <m/>
    <m/>
    <m/>
    <n v="0"/>
    <n v="0"/>
    <n v="0"/>
    <n v="0"/>
    <n v="0"/>
    <n v="0"/>
    <n v="0"/>
    <n v="0"/>
    <n v="0"/>
    <n v="0"/>
    <n v="0"/>
    <s v="MMR012CMP006"/>
    <s v="Open"/>
  </r>
  <r>
    <x v="125"/>
    <n v="2012"/>
    <d v="2012-11-30T00:00:00"/>
    <x v="3"/>
    <m/>
    <x v="0"/>
    <x v="0"/>
    <s v="Bu May Ohn Taw"/>
    <m/>
    <m/>
    <m/>
    <m/>
    <n v="130"/>
    <m/>
    <m/>
    <m/>
    <m/>
    <m/>
    <m/>
    <n v="0"/>
    <n v="0"/>
    <n v="0"/>
    <n v="0"/>
    <n v="0"/>
    <n v="0"/>
    <n v="0"/>
    <n v="0"/>
    <n v="0"/>
    <n v="0"/>
    <n v="0"/>
    <s v="MMR012CMP051"/>
    <s v="Close"/>
  </r>
  <r>
    <x v="125"/>
    <n v="2012"/>
    <d v="2012-11-30T00:00:00"/>
    <x v="3"/>
    <m/>
    <x v="0"/>
    <x v="0"/>
    <s v="Bu May Ohn Taw"/>
    <m/>
    <m/>
    <m/>
    <m/>
    <n v="314"/>
    <m/>
    <m/>
    <m/>
    <m/>
    <m/>
    <m/>
    <n v="0"/>
    <n v="0"/>
    <n v="0"/>
    <n v="0"/>
    <n v="0"/>
    <n v="0"/>
    <n v="0"/>
    <n v="0"/>
    <n v="0"/>
    <n v="0"/>
    <n v="0"/>
    <s v="MMR012CMP051"/>
    <s v="Close"/>
  </r>
  <r>
    <x v="125"/>
    <n v="2012"/>
    <d v="2012-11-30T00:00:00"/>
    <x v="3"/>
    <m/>
    <x v="0"/>
    <x v="7"/>
    <s v="Kan Thar Htwat Wa"/>
    <m/>
    <m/>
    <m/>
    <n v="88"/>
    <n v="44"/>
    <n v="88"/>
    <n v="44"/>
    <n v="44"/>
    <m/>
    <m/>
    <m/>
    <n v="0"/>
    <n v="0"/>
    <n v="0"/>
    <n v="0"/>
    <n v="0"/>
    <n v="0"/>
    <n v="0"/>
    <n v="0"/>
    <n v="0"/>
    <n v="0"/>
    <n v="0"/>
    <s v="MMR012CMP013"/>
    <s v="Open"/>
  </r>
  <r>
    <x v="125"/>
    <n v="2012"/>
    <d v="2012-11-30T00:00:00"/>
    <x v="3"/>
    <m/>
    <x v="0"/>
    <x v="0"/>
    <s v="Pa Lin Pyin Ywar Thit"/>
    <m/>
    <m/>
    <m/>
    <m/>
    <n v="822"/>
    <m/>
    <m/>
    <m/>
    <m/>
    <m/>
    <m/>
    <n v="0"/>
    <n v="0"/>
    <n v="0"/>
    <n v="0"/>
    <n v="0"/>
    <n v="0"/>
    <n v="0"/>
    <n v="0"/>
    <n v="0"/>
    <n v="0"/>
    <n v="0"/>
    <s v="MMR012CMP050"/>
    <s v="Close"/>
  </r>
  <r>
    <x v="125"/>
    <n v="2012"/>
    <d v="2012-11-30T00:00:00"/>
    <x v="3"/>
    <m/>
    <x v="0"/>
    <x v="7"/>
    <s v="Taung Paw "/>
    <m/>
    <m/>
    <m/>
    <m/>
    <m/>
    <m/>
    <m/>
    <n v="705"/>
    <m/>
    <m/>
    <m/>
    <n v="0"/>
    <n v="0"/>
    <n v="0"/>
    <n v="0"/>
    <n v="0"/>
    <n v="0"/>
    <n v="0"/>
    <n v="0"/>
    <n v="0"/>
    <n v="0"/>
    <n v="0"/>
    <s v="MMR012CMP014"/>
    <s v="Open"/>
  </r>
  <r>
    <x v="125"/>
    <n v="2012"/>
    <d v="2012-11-30T00:00:00"/>
    <x v="13"/>
    <s v="UNHCR"/>
    <x v="0"/>
    <x v="0"/>
    <s v="Thet Kae Pyin "/>
    <m/>
    <m/>
    <m/>
    <m/>
    <m/>
    <n v="100"/>
    <m/>
    <m/>
    <m/>
    <m/>
    <m/>
    <n v="0"/>
    <n v="0"/>
    <n v="0"/>
    <n v="0"/>
    <n v="0"/>
    <n v="0"/>
    <n v="0"/>
    <n v="0"/>
    <n v="0"/>
    <n v="0"/>
    <n v="0"/>
    <s v="MMR012CMP048"/>
    <s v="Open"/>
  </r>
  <r>
    <x v="126"/>
    <n v="2012"/>
    <d v="2012-11-21T00:00:00"/>
    <x v="3"/>
    <m/>
    <x v="0"/>
    <x v="4"/>
    <s v="Nagara Pauktaw"/>
    <m/>
    <m/>
    <m/>
    <m/>
    <n v="129"/>
    <m/>
    <m/>
    <m/>
    <m/>
    <m/>
    <m/>
    <n v="0"/>
    <n v="0"/>
    <n v="0"/>
    <n v="0"/>
    <n v="0"/>
    <n v="0"/>
    <n v="0"/>
    <n v="0"/>
    <n v="0"/>
    <n v="0"/>
    <n v="0"/>
    <s v="MMR012CMP004"/>
    <s v="Close"/>
  </r>
  <r>
    <x v="126"/>
    <n v="2012"/>
    <d v="2012-11-21T00:00:00"/>
    <x v="3"/>
    <m/>
    <x v="0"/>
    <x v="5"/>
    <s v="Pa Rein"/>
    <m/>
    <m/>
    <m/>
    <m/>
    <n v="140"/>
    <m/>
    <m/>
    <m/>
    <m/>
    <m/>
    <m/>
    <n v="0"/>
    <n v="0"/>
    <n v="0"/>
    <n v="0"/>
    <n v="0"/>
    <n v="0"/>
    <n v="0"/>
    <n v="0"/>
    <n v="0"/>
    <n v="0"/>
    <n v="0"/>
    <s v="MMR012CMP009"/>
    <s v="Open"/>
  </r>
  <r>
    <x v="126"/>
    <n v="2012"/>
    <d v="2012-11-21T00:00:00"/>
    <x v="3"/>
    <m/>
    <x v="0"/>
    <x v="4"/>
    <s v="Sam Ba Le"/>
    <m/>
    <m/>
    <m/>
    <n v="27"/>
    <n v="2"/>
    <m/>
    <m/>
    <m/>
    <m/>
    <m/>
    <m/>
    <n v="0"/>
    <n v="0"/>
    <n v="0"/>
    <n v="0"/>
    <n v="0"/>
    <n v="0"/>
    <n v="0"/>
    <n v="0"/>
    <n v="0"/>
    <n v="0"/>
    <n v="0"/>
    <s v="MMR012CMP008"/>
    <s v="Open"/>
  </r>
  <r>
    <x v="126"/>
    <n v="2012"/>
    <d v="2012-11-21T00:00:00"/>
    <x v="3"/>
    <m/>
    <x v="0"/>
    <x v="4"/>
    <s v="San Htoe Tan"/>
    <m/>
    <m/>
    <m/>
    <n v="172"/>
    <n v="10"/>
    <n v="172"/>
    <m/>
    <m/>
    <m/>
    <m/>
    <m/>
    <n v="0"/>
    <n v="0"/>
    <n v="0"/>
    <n v="0"/>
    <n v="0"/>
    <n v="0"/>
    <n v="0"/>
    <n v="0"/>
    <n v="0"/>
    <n v="0"/>
    <n v="0"/>
    <s v="MMR012CMP003"/>
    <s v="Open"/>
  </r>
  <r>
    <x v="126"/>
    <n v="2012"/>
    <d v="2012-11-21T00:00:00"/>
    <x v="3"/>
    <m/>
    <x v="0"/>
    <x v="4"/>
    <s v="Tha Dar"/>
    <m/>
    <m/>
    <m/>
    <m/>
    <n v="145"/>
    <m/>
    <m/>
    <m/>
    <m/>
    <m/>
    <m/>
    <n v="0"/>
    <n v="0"/>
    <n v="0"/>
    <n v="0"/>
    <n v="0"/>
    <n v="0"/>
    <n v="0"/>
    <n v="0"/>
    <n v="0"/>
    <n v="0"/>
    <n v="0"/>
    <s v="MMR012CMP002"/>
    <s v="Open"/>
  </r>
  <r>
    <x v="126"/>
    <n v="2012"/>
    <d v="2012-11-21T00:00:00"/>
    <x v="3"/>
    <m/>
    <x v="0"/>
    <x v="5"/>
    <s v="Yai Thei-Muslim"/>
    <m/>
    <m/>
    <m/>
    <m/>
    <n v="83"/>
    <m/>
    <m/>
    <m/>
    <m/>
    <m/>
    <m/>
    <n v="0"/>
    <n v="0"/>
    <n v="0"/>
    <n v="0"/>
    <n v="0"/>
    <n v="0"/>
    <n v="0"/>
    <n v="0"/>
    <n v="0"/>
    <n v="0"/>
    <n v="0"/>
    <s v="MMR012CMP010"/>
    <s v="Open"/>
  </r>
  <r>
    <x v="127"/>
    <n v="2012"/>
    <d v="2012-11-19T00:00:00"/>
    <x v="3"/>
    <m/>
    <x v="0"/>
    <x v="1"/>
    <s v="Ah Nauk Ywe"/>
    <m/>
    <m/>
    <m/>
    <m/>
    <n v="458"/>
    <n v="148"/>
    <m/>
    <m/>
    <m/>
    <m/>
    <m/>
    <n v="0"/>
    <n v="0"/>
    <n v="0"/>
    <n v="0"/>
    <n v="0"/>
    <n v="0"/>
    <n v="0"/>
    <n v="0"/>
    <n v="0"/>
    <n v="0"/>
    <n v="0"/>
    <s v="MMR012CMP016"/>
    <s v="Open"/>
  </r>
  <r>
    <x v="127"/>
    <n v="2012"/>
    <d v="2012-11-19T00:00:00"/>
    <x v="3"/>
    <m/>
    <x v="0"/>
    <x v="1"/>
    <s v="Kyein Ni Pyin"/>
    <m/>
    <m/>
    <m/>
    <n v="769"/>
    <n v="369"/>
    <n v="1538"/>
    <n v="769"/>
    <m/>
    <m/>
    <m/>
    <m/>
    <n v="0"/>
    <n v="0"/>
    <n v="0"/>
    <n v="0"/>
    <n v="0"/>
    <n v="0"/>
    <n v="0"/>
    <n v="0"/>
    <n v="0"/>
    <n v="0"/>
    <n v="0"/>
    <s v="MMR012CMP018"/>
    <s v="Open"/>
  </r>
  <r>
    <x v="127"/>
    <n v="2012"/>
    <d v="2012-11-19T00:00:00"/>
    <x v="3"/>
    <m/>
    <x v="0"/>
    <x v="1"/>
    <s v="Nget Chaung"/>
    <m/>
    <m/>
    <m/>
    <n v="1306"/>
    <n v="506"/>
    <n v="1306"/>
    <n v="1306"/>
    <m/>
    <m/>
    <m/>
    <m/>
    <n v="0"/>
    <n v="0"/>
    <n v="0"/>
    <n v="0"/>
    <n v="0"/>
    <n v="0"/>
    <n v="0"/>
    <n v="0"/>
    <n v="0"/>
    <n v="0"/>
    <n v="0"/>
    <s v="MMR012CMP017"/>
    <s v="Open"/>
  </r>
  <r>
    <x v="127"/>
    <n v="2012"/>
    <d v="2012-11-19T00:00:00"/>
    <x v="3"/>
    <m/>
    <x v="0"/>
    <x v="9"/>
    <s v="Ramree Town"/>
    <m/>
    <m/>
    <m/>
    <n v="26"/>
    <n v="13"/>
    <n v="26"/>
    <n v="13"/>
    <m/>
    <m/>
    <m/>
    <m/>
    <n v="0"/>
    <n v="0"/>
    <n v="0"/>
    <n v="0"/>
    <n v="0"/>
    <n v="0"/>
    <n v="0"/>
    <n v="0"/>
    <n v="0"/>
    <n v="0"/>
    <n v="0"/>
    <s v="MMR012CMP038"/>
    <s v="Open"/>
  </r>
  <r>
    <x v="127"/>
    <n v="2012"/>
    <d v="2012-11-19T00:00:00"/>
    <x v="3"/>
    <m/>
    <x v="0"/>
    <x v="9"/>
    <s v="Ramree Ward 6"/>
    <m/>
    <m/>
    <m/>
    <n v="194"/>
    <n v="97"/>
    <n v="194"/>
    <n v="97"/>
    <m/>
    <m/>
    <m/>
    <m/>
    <n v="0"/>
    <n v="0"/>
    <n v="0"/>
    <n v="0"/>
    <n v="0"/>
    <n v="0"/>
    <n v="0"/>
    <n v="0"/>
    <n v="0"/>
    <n v="0"/>
    <n v="0"/>
    <s v="MMR012CMP037"/>
    <s v="Open"/>
  </r>
  <r>
    <x v="127"/>
    <n v="2012"/>
    <d v="2012-11-19T00:00:00"/>
    <x v="3"/>
    <m/>
    <x v="0"/>
    <x v="1"/>
    <s v="Sin Tet Maw"/>
    <m/>
    <m/>
    <m/>
    <m/>
    <n v="362"/>
    <m/>
    <m/>
    <m/>
    <m/>
    <m/>
    <m/>
    <n v="0"/>
    <n v="0"/>
    <n v="0"/>
    <n v="0"/>
    <n v="0"/>
    <n v="0"/>
    <n v="0"/>
    <n v="0"/>
    <n v="0"/>
    <n v="0"/>
    <n v="0"/>
    <s v="MMR012CMP019"/>
    <s v="Open"/>
  </r>
  <r>
    <x v="128"/>
    <n v="2012"/>
    <d v="2012-11-03T00:00:00"/>
    <x v="3"/>
    <m/>
    <x v="0"/>
    <x v="1"/>
    <s v="Sin Tet Maw"/>
    <m/>
    <m/>
    <m/>
    <n v="862"/>
    <n v="500"/>
    <n v="862"/>
    <n v="862"/>
    <m/>
    <m/>
    <m/>
    <m/>
    <n v="0"/>
    <n v="0"/>
    <n v="0"/>
    <n v="0"/>
    <n v="0"/>
    <n v="0"/>
    <n v="0"/>
    <n v="0"/>
    <n v="0"/>
    <n v="0"/>
    <n v="0"/>
    <s v="MMR012CMP019"/>
    <s v="Open"/>
  </r>
  <r>
    <x v="129"/>
    <n v="2012"/>
    <d v="2012-11-02T00:00:00"/>
    <x v="3"/>
    <m/>
    <x v="0"/>
    <x v="3"/>
    <s v="Ah Lel Kyun"/>
    <m/>
    <m/>
    <m/>
    <m/>
    <n v="85"/>
    <m/>
    <m/>
    <m/>
    <m/>
    <m/>
    <m/>
    <n v="0"/>
    <n v="0"/>
    <n v="0"/>
    <n v="0"/>
    <n v="0"/>
    <n v="0"/>
    <n v="0"/>
    <n v="0"/>
    <n v="0"/>
    <n v="0"/>
    <n v="0"/>
    <s v="MMR012CMP025"/>
    <s v="Open"/>
  </r>
  <r>
    <x v="130"/>
    <n v="2012"/>
    <d v="2012-11-01T00:00:00"/>
    <x v="3"/>
    <m/>
    <x v="0"/>
    <x v="7"/>
    <s v="Taung Paw "/>
    <m/>
    <m/>
    <m/>
    <m/>
    <n v="146"/>
    <m/>
    <n v="146"/>
    <m/>
    <m/>
    <m/>
    <m/>
    <n v="0"/>
    <n v="0"/>
    <n v="0"/>
    <n v="0"/>
    <n v="0"/>
    <n v="0"/>
    <n v="0"/>
    <n v="0"/>
    <n v="0"/>
    <n v="0"/>
    <n v="0"/>
    <s v="MMR012CMP014"/>
    <s v="Open"/>
  </r>
  <r>
    <x v="131"/>
    <n v="2012"/>
    <d v="2012-10-31T00:00:00"/>
    <x v="3"/>
    <m/>
    <x v="0"/>
    <x v="4"/>
    <s v="Aung Taing"/>
    <m/>
    <m/>
    <m/>
    <m/>
    <n v="40"/>
    <m/>
    <m/>
    <m/>
    <m/>
    <m/>
    <m/>
    <n v="0"/>
    <n v="0"/>
    <n v="0"/>
    <n v="0"/>
    <n v="0"/>
    <n v="0"/>
    <n v="0"/>
    <n v="0"/>
    <n v="0"/>
    <n v="0"/>
    <n v="0"/>
    <s v="MMR012CMP006"/>
    <s v="Open"/>
  </r>
  <r>
    <x v="131"/>
    <n v="2012"/>
    <d v="2012-10-31T00:00:00"/>
    <x v="3"/>
    <m/>
    <x v="0"/>
    <x v="4"/>
    <s v="Nagara Pauktaw"/>
    <m/>
    <m/>
    <m/>
    <m/>
    <n v="100"/>
    <m/>
    <m/>
    <m/>
    <m/>
    <m/>
    <m/>
    <n v="0"/>
    <n v="0"/>
    <n v="0"/>
    <n v="0"/>
    <n v="0"/>
    <n v="0"/>
    <n v="0"/>
    <n v="0"/>
    <n v="0"/>
    <n v="0"/>
    <n v="0"/>
    <s v="MMR012CMP004"/>
    <s v="Close"/>
  </r>
  <r>
    <x v="131"/>
    <n v="2012"/>
    <d v="2012-10-31T00:00:00"/>
    <x v="3"/>
    <m/>
    <x v="0"/>
    <x v="5"/>
    <s v="Pa Rein"/>
    <m/>
    <m/>
    <m/>
    <m/>
    <n v="100"/>
    <m/>
    <m/>
    <m/>
    <m/>
    <m/>
    <m/>
    <n v="0"/>
    <n v="0"/>
    <n v="0"/>
    <n v="0"/>
    <n v="0"/>
    <n v="0"/>
    <n v="0"/>
    <n v="0"/>
    <n v="0"/>
    <n v="0"/>
    <n v="0"/>
    <s v="MMR012CMP009"/>
    <s v="Open"/>
  </r>
  <r>
    <x v="132"/>
    <n v="2012"/>
    <d v="2012-10-07T00:00:00"/>
    <x v="3"/>
    <m/>
    <x v="0"/>
    <x v="3"/>
    <s v="Ah Pauk Wa "/>
    <m/>
    <m/>
    <m/>
    <m/>
    <n v="90"/>
    <m/>
    <m/>
    <m/>
    <m/>
    <m/>
    <m/>
    <n v="0"/>
    <n v="0"/>
    <n v="0"/>
    <n v="0"/>
    <n v="0"/>
    <n v="0"/>
    <n v="0"/>
    <n v="0"/>
    <n v="0"/>
    <n v="0"/>
    <n v="0"/>
    <s v="MMR012CMP024"/>
    <s v="Open"/>
  </r>
  <r>
    <x v="132"/>
    <n v="2012"/>
    <d v="2012-10-07T00:00:00"/>
    <x v="3"/>
    <m/>
    <x v="0"/>
    <x v="3"/>
    <s v="San Gar Taung"/>
    <m/>
    <m/>
    <m/>
    <m/>
    <n v="97"/>
    <m/>
    <m/>
    <m/>
    <m/>
    <m/>
    <m/>
    <n v="0"/>
    <n v="0"/>
    <n v="0"/>
    <n v="0"/>
    <n v="0"/>
    <n v="0"/>
    <n v="0"/>
    <n v="0"/>
    <n v="0"/>
    <n v="0"/>
    <n v="0"/>
    <s v=""/>
    <s v=""/>
  </r>
  <r>
    <x v="133"/>
    <n v="2012"/>
    <d v="2012-10-06T00:00:00"/>
    <x v="3"/>
    <m/>
    <x v="0"/>
    <x v="0"/>
    <s v="Thet Kay Pyin School"/>
    <m/>
    <m/>
    <m/>
    <m/>
    <n v="100"/>
    <m/>
    <m/>
    <m/>
    <m/>
    <m/>
    <m/>
    <n v="0"/>
    <n v="0"/>
    <n v="0"/>
    <n v="0"/>
    <n v="0"/>
    <n v="0"/>
    <n v="0"/>
    <n v="0"/>
    <n v="0"/>
    <n v="0"/>
    <n v="0"/>
    <s v=""/>
    <s v=""/>
  </r>
  <r>
    <x v="134"/>
    <n v="2012"/>
    <d v="2012-09-07T00:00:00"/>
    <x v="3"/>
    <m/>
    <x v="0"/>
    <x v="0"/>
    <s v="Baw Du Pha"/>
    <m/>
    <m/>
    <m/>
    <m/>
    <n v="55"/>
    <m/>
    <m/>
    <m/>
    <m/>
    <m/>
    <m/>
    <n v="0"/>
    <n v="0"/>
    <n v="0"/>
    <n v="0"/>
    <n v="0"/>
    <n v="0"/>
    <n v="0"/>
    <n v="0"/>
    <n v="0"/>
    <n v="0"/>
    <n v="0"/>
    <s v="MMR012CMP040"/>
    <s v="Close"/>
  </r>
  <r>
    <x v="135"/>
    <n v="2012"/>
    <d v="2012-09-05T00:00:00"/>
    <x v="3"/>
    <m/>
    <x v="0"/>
    <x v="0"/>
    <s v="Baw Du Pha"/>
    <m/>
    <m/>
    <m/>
    <m/>
    <m/>
    <n v="65"/>
    <m/>
    <m/>
    <m/>
    <m/>
    <m/>
    <n v="0"/>
    <n v="0"/>
    <n v="0"/>
    <n v="0"/>
    <n v="0"/>
    <n v="0"/>
    <n v="0"/>
    <n v="0"/>
    <n v="0"/>
    <n v="0"/>
    <n v="0"/>
    <s v="MMR012CMP040"/>
    <s v="Close"/>
  </r>
  <r>
    <x v="136"/>
    <n v="2012"/>
    <d v="2012-09-01T00:00:00"/>
    <x v="13"/>
    <s v="UNHCR"/>
    <x v="0"/>
    <x v="0"/>
    <s v="Ohn Taw Gyi 1"/>
    <m/>
    <m/>
    <m/>
    <m/>
    <m/>
    <n v="60"/>
    <m/>
    <m/>
    <m/>
    <m/>
    <m/>
    <n v="0"/>
    <n v="0"/>
    <n v="0"/>
    <n v="0"/>
    <n v="0"/>
    <n v="0"/>
    <n v="0"/>
    <n v="0"/>
    <n v="0"/>
    <n v="0"/>
    <n v="0"/>
    <s v="MMR012CMP043"/>
    <s v="Close"/>
  </r>
  <r>
    <x v="137"/>
    <n v="2012"/>
    <d v="2012-08-25T00:00:00"/>
    <x v="3"/>
    <m/>
    <x v="0"/>
    <x v="3"/>
    <s v="Goke Pi Htaunt"/>
    <m/>
    <m/>
    <m/>
    <m/>
    <n v="114"/>
    <m/>
    <m/>
    <m/>
    <m/>
    <m/>
    <m/>
    <n v="0"/>
    <n v="0"/>
    <n v="0"/>
    <n v="0"/>
    <n v="0"/>
    <n v="0"/>
    <n v="0"/>
    <n v="0"/>
    <n v="0"/>
    <n v="0"/>
    <n v="0"/>
    <s v="MMR012CMP027"/>
    <s v="Open"/>
  </r>
  <r>
    <x v="137"/>
    <n v="2012"/>
    <d v="2012-08-25T00:00:00"/>
    <x v="3"/>
    <m/>
    <x v="0"/>
    <x v="3"/>
    <s v="In Bar Yi"/>
    <m/>
    <m/>
    <m/>
    <m/>
    <n v="230"/>
    <m/>
    <m/>
    <n v="230"/>
    <m/>
    <m/>
    <m/>
    <n v="0"/>
    <n v="0"/>
    <n v="0"/>
    <n v="0"/>
    <n v="0"/>
    <n v="0"/>
    <n v="0"/>
    <n v="0"/>
    <n v="0"/>
    <n v="0"/>
    <n v="0"/>
    <s v="MMR012CMP026"/>
    <s v="Open"/>
  </r>
  <r>
    <x v="137"/>
    <n v="2012"/>
    <d v="2012-08-25T00:00:00"/>
    <x v="3"/>
    <m/>
    <x v="0"/>
    <x v="3"/>
    <s v="Shwe Hlaing"/>
    <m/>
    <m/>
    <m/>
    <m/>
    <n v="144"/>
    <n v="290"/>
    <n v="40"/>
    <m/>
    <m/>
    <m/>
    <m/>
    <n v="0"/>
    <n v="0"/>
    <n v="0"/>
    <n v="0"/>
    <n v="0"/>
    <n v="0"/>
    <n v="0"/>
    <n v="0"/>
    <n v="0"/>
    <n v="0"/>
    <n v="0"/>
    <s v="MMR012CMP029"/>
    <s v="Open"/>
  </r>
  <r>
    <x v="137"/>
    <n v="2012"/>
    <d v="2012-08-25T00:00:00"/>
    <x v="3"/>
    <m/>
    <x v="0"/>
    <x v="3"/>
    <s v="Yun Nyar"/>
    <m/>
    <m/>
    <m/>
    <m/>
    <n v="107"/>
    <m/>
    <m/>
    <m/>
    <m/>
    <m/>
    <m/>
    <n v="0"/>
    <n v="0"/>
    <n v="0"/>
    <n v="0"/>
    <n v="0"/>
    <n v="0"/>
    <n v="0"/>
    <n v="0"/>
    <n v="0"/>
    <n v="0"/>
    <n v="0"/>
    <s v="MMR012CMP028"/>
    <s v="Open"/>
  </r>
  <r>
    <x v="138"/>
    <n v="2012"/>
    <d v="2012-08-23T00:00:00"/>
    <x v="3"/>
    <m/>
    <x v="0"/>
    <x v="0"/>
    <s v="Dar Pai"/>
    <m/>
    <m/>
    <m/>
    <m/>
    <n v="805"/>
    <m/>
    <m/>
    <m/>
    <m/>
    <m/>
    <m/>
    <n v="0"/>
    <n v="0"/>
    <n v="0"/>
    <n v="0"/>
    <n v="0"/>
    <n v="0"/>
    <n v="0"/>
    <n v="0"/>
    <n v="0"/>
    <n v="0"/>
    <n v="0"/>
    <s v="MMR012CMP041"/>
    <s v="Open"/>
  </r>
  <r>
    <x v="139"/>
    <n v="2012"/>
    <d v="2012-08-05T00:00:00"/>
    <x v="3"/>
    <m/>
    <x v="0"/>
    <x v="0"/>
    <s v="Thet Kae Pyin "/>
    <m/>
    <m/>
    <m/>
    <m/>
    <n v="98"/>
    <m/>
    <m/>
    <m/>
    <m/>
    <m/>
    <m/>
    <n v="0"/>
    <n v="0"/>
    <n v="0"/>
    <n v="0"/>
    <n v="0"/>
    <n v="0"/>
    <n v="0"/>
    <n v="0"/>
    <n v="0"/>
    <n v="0"/>
    <n v="0"/>
    <s v="MMR012CMP048"/>
    <s v="Open"/>
  </r>
  <r>
    <x v="140"/>
    <n v="2012"/>
    <d v="2012-07-30T00:00:00"/>
    <x v="3"/>
    <m/>
    <x v="0"/>
    <x v="0"/>
    <s v="Say Tha Mar Gyi"/>
    <m/>
    <m/>
    <m/>
    <m/>
    <n v="461"/>
    <m/>
    <m/>
    <m/>
    <m/>
    <m/>
    <m/>
    <n v="0"/>
    <n v="0"/>
    <n v="0"/>
    <n v="0"/>
    <n v="0"/>
    <n v="0"/>
    <n v="0"/>
    <n v="0"/>
    <n v="0"/>
    <n v="0"/>
    <n v="0"/>
    <s v="MMR012CMP045"/>
    <s v="Open"/>
  </r>
  <r>
    <x v="140"/>
    <n v="2012"/>
    <d v="2012-07-30T00:00:00"/>
    <x v="3"/>
    <m/>
    <x v="0"/>
    <x v="0"/>
    <s v="Thet Kae Pyin "/>
    <m/>
    <m/>
    <m/>
    <m/>
    <n v="11"/>
    <m/>
    <m/>
    <m/>
    <m/>
    <m/>
    <m/>
    <n v="0"/>
    <n v="0"/>
    <n v="0"/>
    <n v="0"/>
    <n v="0"/>
    <n v="0"/>
    <n v="0"/>
    <n v="0"/>
    <n v="0"/>
    <n v="0"/>
    <n v="0"/>
    <s v="MMR012CMP048"/>
    <s v="Open"/>
  </r>
  <r>
    <x v="141"/>
    <n v="2012"/>
    <d v="2012-07-29T00:00:00"/>
    <x v="3"/>
    <m/>
    <x v="0"/>
    <x v="0"/>
    <s v="Khaung Doke Khar "/>
    <m/>
    <m/>
    <m/>
    <m/>
    <n v="22"/>
    <m/>
    <m/>
    <m/>
    <m/>
    <m/>
    <m/>
    <n v="0"/>
    <n v="0"/>
    <n v="0"/>
    <n v="0"/>
    <n v="0"/>
    <n v="0"/>
    <n v="0"/>
    <n v="0"/>
    <n v="0"/>
    <n v="0"/>
    <n v="0"/>
    <s v="MMR012CMP042"/>
    <s v="Open"/>
  </r>
  <r>
    <x v="141"/>
    <n v="2012"/>
    <d v="2012-07-29T00:00:00"/>
    <x v="3"/>
    <m/>
    <x v="0"/>
    <x v="0"/>
    <s v="Say Tha Mar Gyi"/>
    <m/>
    <m/>
    <m/>
    <m/>
    <n v="456"/>
    <m/>
    <m/>
    <m/>
    <m/>
    <m/>
    <m/>
    <n v="0"/>
    <n v="0"/>
    <n v="0"/>
    <n v="0"/>
    <n v="0"/>
    <n v="0"/>
    <n v="0"/>
    <n v="0"/>
    <n v="0"/>
    <n v="0"/>
    <n v="0"/>
    <s v="MMR012CMP045"/>
    <s v="Open"/>
  </r>
  <r>
    <x v="142"/>
    <n v="2012"/>
    <d v="2012-07-21T00:00:00"/>
    <x v="3"/>
    <m/>
    <x v="0"/>
    <x v="0"/>
    <s v="Say Tha Mar Gyi"/>
    <m/>
    <m/>
    <m/>
    <m/>
    <n v="117"/>
    <m/>
    <m/>
    <m/>
    <m/>
    <m/>
    <m/>
    <n v="0"/>
    <n v="0"/>
    <n v="0"/>
    <n v="0"/>
    <n v="0"/>
    <n v="0"/>
    <n v="0"/>
    <n v="0"/>
    <n v="0"/>
    <n v="0"/>
    <n v="0"/>
    <s v="MMR012CMP045"/>
    <s v="Open"/>
  </r>
  <r>
    <x v="143"/>
    <n v="2012"/>
    <d v="2012-07-20T00:00:00"/>
    <x v="3"/>
    <m/>
    <x v="0"/>
    <x v="0"/>
    <s v="Basare"/>
    <m/>
    <m/>
    <m/>
    <m/>
    <n v="383"/>
    <m/>
    <m/>
    <m/>
    <m/>
    <m/>
    <m/>
    <n v="0"/>
    <n v="0"/>
    <n v="0"/>
    <n v="0"/>
    <n v="0"/>
    <n v="0"/>
    <n v="0"/>
    <n v="0"/>
    <n v="0"/>
    <n v="0"/>
    <n v="0"/>
    <s v="MMR012CMP039"/>
    <s v="Open"/>
  </r>
  <r>
    <x v="144"/>
    <n v="2012"/>
    <d v="2012-07-19T00:00:00"/>
    <x v="3"/>
    <m/>
    <x v="0"/>
    <x v="0"/>
    <s v="Thet Kae Pyin "/>
    <m/>
    <m/>
    <m/>
    <m/>
    <n v="572"/>
    <m/>
    <m/>
    <m/>
    <m/>
    <m/>
    <m/>
    <n v="0"/>
    <n v="0"/>
    <n v="0"/>
    <n v="0"/>
    <n v="0"/>
    <n v="0"/>
    <n v="0"/>
    <n v="0"/>
    <n v="0"/>
    <n v="0"/>
    <n v="0"/>
    <s v="MMR012CMP048"/>
    <s v="Open"/>
  </r>
  <r>
    <x v="145"/>
    <n v="2012"/>
    <d v="2012-07-18T00:00:00"/>
    <x v="3"/>
    <m/>
    <x v="0"/>
    <x v="0"/>
    <s v="Baw Du Pha"/>
    <m/>
    <m/>
    <m/>
    <m/>
    <n v="248"/>
    <m/>
    <m/>
    <m/>
    <m/>
    <m/>
    <m/>
    <n v="0"/>
    <n v="0"/>
    <n v="0"/>
    <n v="0"/>
    <n v="0"/>
    <n v="0"/>
    <n v="0"/>
    <n v="0"/>
    <n v="0"/>
    <n v="0"/>
    <n v="0"/>
    <s v="MMR012CMP040"/>
    <s v="Close"/>
  </r>
  <r>
    <x v="145"/>
    <n v="2012"/>
    <d v="2012-07-18T00:00:00"/>
    <x v="3"/>
    <m/>
    <x v="0"/>
    <x v="0"/>
    <s v="Khaung Doke Khar "/>
    <m/>
    <m/>
    <m/>
    <m/>
    <n v="121"/>
    <m/>
    <m/>
    <m/>
    <m/>
    <m/>
    <m/>
    <n v="0"/>
    <n v="0"/>
    <n v="0"/>
    <n v="0"/>
    <n v="0"/>
    <n v="0"/>
    <n v="0"/>
    <n v="0"/>
    <n v="0"/>
    <n v="0"/>
    <n v="0"/>
    <s v="MMR012CMP042"/>
    <s v="Open"/>
  </r>
  <r>
    <x v="146"/>
    <n v="2012"/>
    <d v="2012-07-17T00:00:00"/>
    <x v="3"/>
    <m/>
    <x v="0"/>
    <x v="0"/>
    <s v="Baw Du Pha"/>
    <m/>
    <m/>
    <m/>
    <m/>
    <n v="630"/>
    <m/>
    <m/>
    <m/>
    <m/>
    <m/>
    <m/>
    <n v="0"/>
    <n v="0"/>
    <n v="0"/>
    <n v="0"/>
    <n v="0"/>
    <n v="0"/>
    <n v="0"/>
    <n v="0"/>
    <n v="0"/>
    <n v="0"/>
    <n v="0"/>
    <s v="MMR012CMP040"/>
    <s v="Close"/>
  </r>
  <r>
    <x v="147"/>
    <n v="2012"/>
    <d v="2012-07-16T00:00:00"/>
    <x v="3"/>
    <m/>
    <x v="0"/>
    <x v="0"/>
    <s v="Baw Du Pha"/>
    <m/>
    <m/>
    <m/>
    <m/>
    <n v="120"/>
    <m/>
    <m/>
    <m/>
    <m/>
    <m/>
    <m/>
    <n v="0"/>
    <n v="0"/>
    <n v="0"/>
    <n v="0"/>
    <n v="0"/>
    <n v="0"/>
    <n v="0"/>
    <n v="0"/>
    <n v="0"/>
    <n v="0"/>
    <n v="0"/>
    <s v="MMR012CMP040"/>
    <s v="Close"/>
  </r>
  <r>
    <x v="148"/>
    <n v="2012"/>
    <d v="2012-07-15T00:00:00"/>
    <x v="3"/>
    <m/>
    <x v="0"/>
    <x v="0"/>
    <s v="Baw Du Pha"/>
    <m/>
    <m/>
    <m/>
    <m/>
    <n v="150"/>
    <m/>
    <m/>
    <m/>
    <m/>
    <m/>
    <m/>
    <n v="0"/>
    <n v="0"/>
    <n v="0"/>
    <n v="0"/>
    <n v="0"/>
    <n v="0"/>
    <n v="0"/>
    <n v="0"/>
    <n v="0"/>
    <n v="0"/>
    <n v="0"/>
    <s v="MMR012CMP040"/>
    <s v="Close"/>
  </r>
  <r>
    <x v="148"/>
    <n v="2012"/>
    <d v="2012-07-15T00:00:00"/>
    <x v="3"/>
    <m/>
    <x v="0"/>
    <x v="0"/>
    <s v="Thet Kae Pyin "/>
    <m/>
    <m/>
    <m/>
    <m/>
    <n v="200"/>
    <m/>
    <m/>
    <m/>
    <m/>
    <m/>
    <m/>
    <n v="0"/>
    <n v="0"/>
    <n v="0"/>
    <n v="0"/>
    <n v="0"/>
    <n v="0"/>
    <n v="0"/>
    <n v="0"/>
    <n v="0"/>
    <n v="0"/>
    <n v="0"/>
    <s v="MMR012CMP048"/>
    <s v="Open"/>
  </r>
  <r>
    <x v="149"/>
    <n v="2012"/>
    <d v="2012-07-12T00:00:00"/>
    <x v="3"/>
    <m/>
    <x v="0"/>
    <x v="0"/>
    <s v="Khaymarmandine"/>
    <m/>
    <m/>
    <m/>
    <m/>
    <n v="4"/>
    <m/>
    <m/>
    <m/>
    <m/>
    <m/>
    <m/>
    <n v="0"/>
    <n v="0"/>
    <n v="0"/>
    <n v="0"/>
    <n v="0"/>
    <n v="0"/>
    <n v="0"/>
    <n v="0"/>
    <n v="0"/>
    <n v="0"/>
    <n v="0"/>
    <s v=""/>
    <s v=""/>
  </r>
  <r>
    <x v="150"/>
    <n v="2012"/>
    <d v="2012-07-11T00:00:00"/>
    <x v="3"/>
    <m/>
    <x v="0"/>
    <x v="0"/>
    <s v="MinnGanHighSchool"/>
    <m/>
    <m/>
    <m/>
    <m/>
    <n v="492"/>
    <m/>
    <m/>
    <m/>
    <m/>
    <m/>
    <m/>
    <n v="0"/>
    <n v="0"/>
    <n v="0"/>
    <n v="0"/>
    <n v="0"/>
    <n v="0"/>
    <n v="0"/>
    <n v="0"/>
    <n v="0"/>
    <n v="0"/>
    <n v="0"/>
    <s v=""/>
    <s v=""/>
  </r>
  <r>
    <x v="151"/>
    <n v="2012"/>
    <d v="2012-07-10T00:00:00"/>
    <x v="3"/>
    <m/>
    <x v="0"/>
    <x v="0"/>
    <s v="DamaYeikThar"/>
    <m/>
    <m/>
    <m/>
    <m/>
    <n v="32"/>
    <m/>
    <m/>
    <m/>
    <m/>
    <m/>
    <m/>
    <n v="0"/>
    <n v="0"/>
    <n v="0"/>
    <n v="0"/>
    <n v="0"/>
    <n v="0"/>
    <n v="0"/>
    <n v="0"/>
    <n v="0"/>
    <n v="0"/>
    <n v="0"/>
    <s v=""/>
    <s v=""/>
  </r>
  <r>
    <x v="151"/>
    <n v="2012"/>
    <d v="2012-07-10T00:00:00"/>
    <x v="3"/>
    <m/>
    <x v="0"/>
    <x v="0"/>
    <s v="MyaTheinTan"/>
    <m/>
    <m/>
    <m/>
    <m/>
    <n v="5"/>
    <m/>
    <m/>
    <m/>
    <m/>
    <m/>
    <m/>
    <n v="0"/>
    <n v="0"/>
    <n v="0"/>
    <n v="0"/>
    <n v="0"/>
    <n v="0"/>
    <n v="0"/>
    <n v="0"/>
    <n v="0"/>
    <n v="0"/>
    <n v="0"/>
    <s v=""/>
    <s v=""/>
  </r>
  <r>
    <x v="151"/>
    <n v="2012"/>
    <d v="2012-07-10T00:00:00"/>
    <x v="3"/>
    <m/>
    <x v="0"/>
    <x v="0"/>
    <s v="OhnTaPin"/>
    <m/>
    <m/>
    <m/>
    <m/>
    <n v="16"/>
    <m/>
    <m/>
    <m/>
    <m/>
    <m/>
    <m/>
    <n v="0"/>
    <n v="0"/>
    <n v="0"/>
    <n v="0"/>
    <n v="0"/>
    <n v="0"/>
    <n v="0"/>
    <n v="0"/>
    <n v="0"/>
    <n v="0"/>
    <n v="0"/>
    <s v=""/>
    <s v=""/>
  </r>
  <r>
    <x v="151"/>
    <n v="2012"/>
    <d v="2012-07-10T00:00:00"/>
    <x v="3"/>
    <m/>
    <x v="0"/>
    <x v="0"/>
    <s v="Tayzindayama"/>
    <m/>
    <m/>
    <m/>
    <m/>
    <n v="11"/>
    <m/>
    <m/>
    <m/>
    <m/>
    <m/>
    <m/>
    <n v="0"/>
    <n v="0"/>
    <n v="0"/>
    <n v="0"/>
    <n v="0"/>
    <n v="0"/>
    <n v="0"/>
    <n v="0"/>
    <n v="0"/>
    <n v="0"/>
    <n v="0"/>
    <s v=""/>
    <s v=""/>
  </r>
  <r>
    <x v="151"/>
    <n v="2012"/>
    <d v="2012-07-10T00:00:00"/>
    <x v="3"/>
    <m/>
    <x v="0"/>
    <x v="0"/>
    <s v="Weikzar Thaikdi Monastery"/>
    <m/>
    <m/>
    <m/>
    <m/>
    <n v="20"/>
    <m/>
    <m/>
    <m/>
    <m/>
    <m/>
    <m/>
    <n v="0"/>
    <n v="0"/>
    <n v="0"/>
    <n v="0"/>
    <n v="0"/>
    <n v="0"/>
    <n v="0"/>
    <n v="0"/>
    <n v="0"/>
    <n v="0"/>
    <n v="0"/>
    <s v="MMR012CMP075"/>
    <s v="Close"/>
  </r>
  <r>
    <x v="151"/>
    <n v="2012"/>
    <d v="2012-07-10T00:00:00"/>
    <x v="3"/>
    <m/>
    <x v="0"/>
    <x v="0"/>
    <s v="YadaNarMinDaing"/>
    <m/>
    <m/>
    <m/>
    <m/>
    <n v="2"/>
    <m/>
    <m/>
    <m/>
    <m/>
    <m/>
    <m/>
    <n v="0"/>
    <n v="0"/>
    <n v="0"/>
    <n v="0"/>
    <n v="0"/>
    <n v="0"/>
    <n v="0"/>
    <n v="0"/>
    <n v="0"/>
    <n v="0"/>
    <n v="0"/>
    <s v=""/>
    <s v=""/>
  </r>
  <r>
    <x v="152"/>
    <n v="2012"/>
    <d v="2012-07-09T00:00:00"/>
    <x v="3"/>
    <m/>
    <x v="0"/>
    <x v="0"/>
    <s v="Bamgalar A Wa Kune"/>
    <m/>
    <m/>
    <m/>
    <m/>
    <n v="5"/>
    <m/>
    <m/>
    <m/>
    <m/>
    <m/>
    <m/>
    <n v="0"/>
    <n v="0"/>
    <n v="0"/>
    <n v="0"/>
    <n v="0"/>
    <n v="0"/>
    <n v="0"/>
    <n v="0"/>
    <n v="0"/>
    <n v="0"/>
    <n v="0"/>
    <s v=""/>
    <s v=""/>
  </r>
  <r>
    <x v="152"/>
    <n v="2012"/>
    <d v="2012-07-09T00:00:00"/>
    <x v="3"/>
    <m/>
    <x v="0"/>
    <x v="0"/>
    <s v="Dama Yar Ma"/>
    <m/>
    <m/>
    <m/>
    <m/>
    <n v="10"/>
    <m/>
    <m/>
    <m/>
    <m/>
    <m/>
    <m/>
    <n v="0"/>
    <n v="0"/>
    <n v="0"/>
    <n v="0"/>
    <n v="0"/>
    <n v="0"/>
    <n v="0"/>
    <n v="0"/>
    <n v="0"/>
    <n v="0"/>
    <n v="0"/>
    <s v=""/>
    <s v=""/>
  </r>
  <r>
    <x v="152"/>
    <n v="2012"/>
    <d v="2012-07-09T00:00:00"/>
    <x v="3"/>
    <m/>
    <x v="0"/>
    <x v="0"/>
    <s v="Ka Yu Chaung"/>
    <m/>
    <m/>
    <m/>
    <m/>
    <n v="26"/>
    <m/>
    <m/>
    <m/>
    <m/>
    <m/>
    <m/>
    <n v="0"/>
    <n v="0"/>
    <n v="0"/>
    <n v="0"/>
    <n v="0"/>
    <n v="0"/>
    <n v="0"/>
    <n v="0"/>
    <n v="0"/>
    <n v="0"/>
    <n v="0"/>
    <s v=""/>
    <s v=""/>
  </r>
  <r>
    <x v="152"/>
    <n v="2012"/>
    <d v="2012-07-09T00:00:00"/>
    <x v="3"/>
    <m/>
    <x v="0"/>
    <x v="0"/>
    <s v="Kha Maung Taw"/>
    <m/>
    <m/>
    <m/>
    <m/>
    <n v="12"/>
    <m/>
    <m/>
    <m/>
    <m/>
    <m/>
    <m/>
    <n v="0"/>
    <n v="0"/>
    <n v="0"/>
    <n v="0"/>
    <n v="0"/>
    <n v="0"/>
    <n v="0"/>
    <n v="0"/>
    <n v="0"/>
    <n v="0"/>
    <n v="0"/>
    <s v=""/>
    <s v=""/>
  </r>
  <r>
    <x v="152"/>
    <n v="2012"/>
    <d v="2012-07-09T00:00:00"/>
    <x v="3"/>
    <m/>
    <x v="0"/>
    <x v="0"/>
    <s v="KyaungGyiLan"/>
    <m/>
    <m/>
    <m/>
    <m/>
    <n v="23"/>
    <m/>
    <m/>
    <m/>
    <m/>
    <m/>
    <m/>
    <n v="0"/>
    <n v="0"/>
    <n v="0"/>
    <n v="0"/>
    <n v="0"/>
    <n v="0"/>
    <n v="0"/>
    <n v="0"/>
    <n v="0"/>
    <n v="0"/>
    <n v="0"/>
    <s v=""/>
    <s v=""/>
  </r>
  <r>
    <x v="152"/>
    <n v="2012"/>
    <d v="2012-07-09T00:00:00"/>
    <x v="3"/>
    <m/>
    <x v="0"/>
    <x v="0"/>
    <s v="MaYarMaGyi-old"/>
    <m/>
    <m/>
    <m/>
    <m/>
    <n v="36"/>
    <m/>
    <m/>
    <m/>
    <m/>
    <m/>
    <m/>
    <n v="0"/>
    <n v="0"/>
    <n v="0"/>
    <n v="0"/>
    <n v="0"/>
    <n v="0"/>
    <n v="0"/>
    <n v="0"/>
    <n v="0"/>
    <n v="0"/>
    <n v="0"/>
    <s v=""/>
    <s v=""/>
  </r>
  <r>
    <x v="152"/>
    <n v="2012"/>
    <d v="2012-07-09T00:00:00"/>
    <x v="3"/>
    <m/>
    <x v="0"/>
    <x v="0"/>
    <s v="PyinNyarLinkarya"/>
    <m/>
    <m/>
    <m/>
    <m/>
    <n v="33"/>
    <m/>
    <m/>
    <m/>
    <m/>
    <m/>
    <m/>
    <n v="0"/>
    <n v="0"/>
    <n v="0"/>
    <n v="0"/>
    <n v="0"/>
    <n v="0"/>
    <n v="0"/>
    <n v="0"/>
    <n v="0"/>
    <n v="0"/>
    <n v="0"/>
    <s v=""/>
    <s v=""/>
  </r>
  <r>
    <x v="152"/>
    <n v="2012"/>
    <d v="2012-07-09T00:00:00"/>
    <x v="3"/>
    <m/>
    <x v="0"/>
    <x v="0"/>
    <s v="Shwe Pyar"/>
    <m/>
    <m/>
    <m/>
    <m/>
    <n v="3"/>
    <m/>
    <m/>
    <m/>
    <m/>
    <m/>
    <m/>
    <n v="0"/>
    <n v="0"/>
    <n v="0"/>
    <n v="0"/>
    <n v="0"/>
    <n v="0"/>
    <n v="0"/>
    <n v="0"/>
    <n v="0"/>
    <n v="0"/>
    <n v="0"/>
    <s v=""/>
    <s v=""/>
  </r>
  <r>
    <x v="152"/>
    <n v="2012"/>
    <d v="2012-07-09T00:00:00"/>
    <x v="3"/>
    <m/>
    <x v="0"/>
    <x v="0"/>
    <s v="Theit Di Kar Yone Monastery"/>
    <m/>
    <m/>
    <m/>
    <m/>
    <n v="27"/>
    <m/>
    <m/>
    <m/>
    <m/>
    <m/>
    <m/>
    <n v="0"/>
    <n v="0"/>
    <n v="0"/>
    <n v="0"/>
    <n v="0"/>
    <n v="0"/>
    <n v="0"/>
    <n v="0"/>
    <n v="0"/>
    <n v="0"/>
    <n v="0"/>
    <s v="MMR012CMP067"/>
    <s v="Close"/>
  </r>
  <r>
    <x v="152"/>
    <n v="2012"/>
    <d v="2012-07-09T00:00:00"/>
    <x v="3"/>
    <m/>
    <x v="0"/>
    <x v="0"/>
    <s v="Uwa Ya Ma"/>
    <m/>
    <m/>
    <m/>
    <m/>
    <n v="19"/>
    <m/>
    <m/>
    <m/>
    <m/>
    <m/>
    <m/>
    <n v="0"/>
    <n v="0"/>
    <n v="0"/>
    <n v="0"/>
    <n v="0"/>
    <n v="0"/>
    <n v="0"/>
    <n v="0"/>
    <n v="0"/>
    <n v="0"/>
    <n v="0"/>
    <s v=""/>
    <s v=""/>
  </r>
  <r>
    <x v="153"/>
    <n v="2012"/>
    <d v="2012-07-07T00:00:00"/>
    <x v="3"/>
    <m/>
    <x v="0"/>
    <x v="0"/>
    <s v="Kyar Yoke"/>
    <m/>
    <m/>
    <m/>
    <m/>
    <n v="33"/>
    <m/>
    <m/>
    <m/>
    <m/>
    <m/>
    <m/>
    <n v="0"/>
    <n v="0"/>
    <n v="0"/>
    <n v="0"/>
    <n v="0"/>
    <n v="0"/>
    <n v="0"/>
    <n v="0"/>
    <n v="0"/>
    <n v="0"/>
    <n v="0"/>
    <s v=""/>
    <s v=""/>
  </r>
  <r>
    <x v="153"/>
    <n v="2012"/>
    <d v="2012-07-07T00:00:00"/>
    <x v="3"/>
    <m/>
    <x v="0"/>
    <x v="0"/>
    <s v="Layaungwin Monastery"/>
    <m/>
    <m/>
    <m/>
    <m/>
    <n v="9"/>
    <m/>
    <m/>
    <m/>
    <m/>
    <m/>
    <m/>
    <n v="0"/>
    <n v="0"/>
    <n v="0"/>
    <n v="0"/>
    <n v="0"/>
    <n v="0"/>
    <n v="0"/>
    <n v="0"/>
    <n v="0"/>
    <n v="0"/>
    <n v="0"/>
    <s v="MMR012CMP062"/>
    <s v="Close"/>
  </r>
  <r>
    <x v="153"/>
    <n v="2012"/>
    <d v="2012-07-07T00:00:00"/>
    <x v="3"/>
    <m/>
    <x v="0"/>
    <x v="0"/>
    <s v="Shwe Zay Ti Monastery"/>
    <m/>
    <m/>
    <m/>
    <m/>
    <n v="201"/>
    <m/>
    <m/>
    <m/>
    <m/>
    <m/>
    <m/>
    <n v="0"/>
    <n v="0"/>
    <n v="0"/>
    <n v="0"/>
    <n v="0"/>
    <n v="0"/>
    <n v="0"/>
    <n v="0"/>
    <n v="0"/>
    <n v="0"/>
    <n v="0"/>
    <s v="MMR012CMP065"/>
    <s v="Close"/>
  </r>
  <r>
    <x v="153"/>
    <n v="2012"/>
    <d v="2012-07-07T00:00:00"/>
    <x v="3"/>
    <m/>
    <x v="0"/>
    <x v="0"/>
    <s v="Ya Tayar Monastery"/>
    <m/>
    <m/>
    <m/>
    <m/>
    <n v="52"/>
    <m/>
    <m/>
    <m/>
    <m/>
    <m/>
    <m/>
    <n v="0"/>
    <n v="0"/>
    <n v="0"/>
    <n v="0"/>
    <n v="0"/>
    <n v="0"/>
    <n v="0"/>
    <n v="0"/>
    <n v="0"/>
    <n v="0"/>
    <n v="0"/>
    <s v="MMR012CMP074"/>
    <s v="Close"/>
  </r>
  <r>
    <x v="154"/>
    <n v="2012"/>
    <d v="2012-07-05T00:00:00"/>
    <x v="3"/>
    <m/>
    <x v="0"/>
    <x v="0"/>
    <s v="Ar Thaw Ka Yone Monastery"/>
    <m/>
    <m/>
    <m/>
    <m/>
    <n v="43"/>
    <m/>
    <m/>
    <m/>
    <m/>
    <m/>
    <m/>
    <n v="0"/>
    <n v="0"/>
    <n v="0"/>
    <n v="0"/>
    <n v="0"/>
    <n v="0"/>
    <n v="0"/>
    <n v="0"/>
    <n v="0"/>
    <n v="0"/>
    <n v="0"/>
    <s v="MMR012CMP069"/>
    <s v="Close"/>
  </r>
  <r>
    <x v="154"/>
    <n v="2012"/>
    <d v="2012-07-05T00:00:00"/>
    <x v="3"/>
    <m/>
    <x v="0"/>
    <x v="0"/>
    <s v="Boke Daw Maw"/>
    <m/>
    <m/>
    <m/>
    <m/>
    <n v="171"/>
    <m/>
    <m/>
    <m/>
    <m/>
    <m/>
    <m/>
    <n v="0"/>
    <n v="0"/>
    <n v="0"/>
    <n v="0"/>
    <n v="0"/>
    <n v="0"/>
    <n v="0"/>
    <n v="0"/>
    <n v="0"/>
    <n v="0"/>
    <n v="0"/>
    <s v=""/>
    <s v=""/>
  </r>
  <r>
    <x v="154"/>
    <n v="2012"/>
    <d v="2012-07-05T00:00:00"/>
    <x v="3"/>
    <m/>
    <x v="0"/>
    <x v="0"/>
    <s v="Dar Pai"/>
    <m/>
    <m/>
    <m/>
    <m/>
    <n v="18"/>
    <m/>
    <m/>
    <m/>
    <m/>
    <m/>
    <m/>
    <n v="0"/>
    <n v="0"/>
    <n v="0"/>
    <n v="0"/>
    <n v="0"/>
    <n v="0"/>
    <n v="0"/>
    <n v="0"/>
    <n v="0"/>
    <n v="0"/>
    <n v="0"/>
    <s v="MMR012CMP041"/>
    <s v="Open"/>
  </r>
  <r>
    <x v="154"/>
    <n v="2012"/>
    <d v="2012-07-05T00:00:00"/>
    <x v="3"/>
    <m/>
    <x v="0"/>
    <x v="0"/>
    <s v="Gyit Bak Monastery"/>
    <m/>
    <m/>
    <m/>
    <m/>
    <n v="36"/>
    <m/>
    <m/>
    <m/>
    <m/>
    <m/>
    <m/>
    <n v="0"/>
    <n v="0"/>
    <n v="0"/>
    <n v="0"/>
    <n v="0"/>
    <n v="0"/>
    <n v="0"/>
    <n v="0"/>
    <n v="0"/>
    <n v="0"/>
    <n v="0"/>
    <s v="MMR012CMP073"/>
    <s v="Close"/>
  </r>
  <r>
    <x v="154"/>
    <n v="2012"/>
    <d v="2012-07-05T00:00:00"/>
    <x v="3"/>
    <m/>
    <x v="0"/>
    <x v="0"/>
    <s v="Gyit Chay Monastery"/>
    <m/>
    <m/>
    <m/>
    <m/>
    <n v="69"/>
    <m/>
    <m/>
    <m/>
    <m/>
    <m/>
    <m/>
    <n v="0"/>
    <n v="0"/>
    <n v="0"/>
    <n v="0"/>
    <n v="0"/>
    <n v="0"/>
    <n v="0"/>
    <n v="0"/>
    <n v="0"/>
    <n v="0"/>
    <n v="0"/>
    <s v="MMR012CMP061"/>
    <s v="Close"/>
  </r>
  <r>
    <x v="154"/>
    <n v="2012"/>
    <d v="2012-07-05T00:00:00"/>
    <x v="3"/>
    <m/>
    <x v="0"/>
    <x v="0"/>
    <s v="Khaung Doke Khar "/>
    <m/>
    <m/>
    <m/>
    <m/>
    <n v="132"/>
    <m/>
    <m/>
    <m/>
    <m/>
    <m/>
    <m/>
    <n v="0"/>
    <n v="0"/>
    <n v="0"/>
    <n v="0"/>
    <n v="0"/>
    <n v="0"/>
    <n v="0"/>
    <n v="0"/>
    <n v="0"/>
    <n v="0"/>
    <n v="0"/>
    <s v="MMR012CMP042"/>
    <s v="Open"/>
  </r>
  <r>
    <x v="154"/>
    <n v="2012"/>
    <d v="2012-07-05T00:00:00"/>
    <x v="3"/>
    <m/>
    <x v="0"/>
    <x v="0"/>
    <s v="Su Taung Pyae Monastery"/>
    <m/>
    <m/>
    <m/>
    <m/>
    <n v="280"/>
    <m/>
    <m/>
    <m/>
    <m/>
    <m/>
    <m/>
    <n v="0"/>
    <n v="0"/>
    <n v="0"/>
    <n v="0"/>
    <n v="0"/>
    <n v="0"/>
    <n v="0"/>
    <n v="0"/>
    <n v="0"/>
    <n v="0"/>
    <n v="0"/>
    <s v="MMR012CMP066"/>
    <s v="Close"/>
  </r>
  <r>
    <x v="155"/>
    <n v="2012"/>
    <d v="2012-06-30T00:00:00"/>
    <x v="3"/>
    <m/>
    <x v="0"/>
    <x v="0"/>
    <s v="Danyawaddy Baw Lone Kwin"/>
    <m/>
    <m/>
    <m/>
    <m/>
    <n v="103"/>
    <m/>
    <m/>
    <m/>
    <m/>
    <m/>
    <m/>
    <n v="0"/>
    <n v="0"/>
    <n v="0"/>
    <n v="0"/>
    <n v="0"/>
    <n v="0"/>
    <n v="0"/>
    <n v="0"/>
    <n v="0"/>
    <n v="0"/>
    <n v="0"/>
    <s v="MMR012CMP055"/>
    <s v="Close"/>
  </r>
  <r>
    <x v="155"/>
    <n v="2012"/>
    <d v="2012-06-30T00:00:00"/>
    <x v="3"/>
    <m/>
    <x v="0"/>
    <x v="0"/>
    <s v="Khaung Laung"/>
    <m/>
    <m/>
    <m/>
    <m/>
    <n v="36"/>
    <m/>
    <m/>
    <m/>
    <m/>
    <m/>
    <m/>
    <n v="0"/>
    <n v="0"/>
    <n v="0"/>
    <n v="0"/>
    <n v="0"/>
    <n v="0"/>
    <n v="0"/>
    <n v="0"/>
    <n v="0"/>
    <n v="0"/>
    <n v="0"/>
    <s v=""/>
    <s v=""/>
  </r>
  <r>
    <x v="155"/>
    <n v="2012"/>
    <d v="2012-06-30T00:00:00"/>
    <x v="3"/>
    <m/>
    <x v="0"/>
    <x v="0"/>
    <s v="Nyar Ni Kar Ya Ma"/>
    <m/>
    <m/>
    <m/>
    <m/>
    <n v="36"/>
    <m/>
    <m/>
    <m/>
    <m/>
    <m/>
    <m/>
    <n v="0"/>
    <n v="0"/>
    <n v="0"/>
    <n v="0"/>
    <n v="0"/>
    <n v="0"/>
    <n v="0"/>
    <n v="0"/>
    <n v="0"/>
    <n v="0"/>
    <n v="0"/>
    <s v=""/>
    <s v=""/>
  </r>
  <r>
    <x v="155"/>
    <n v="2012"/>
    <d v="2012-06-30T00:00:00"/>
    <x v="3"/>
    <m/>
    <x v="0"/>
    <x v="0"/>
    <s v="Pyin Nyar Mandine Monastery"/>
    <m/>
    <m/>
    <m/>
    <m/>
    <n v="9"/>
    <m/>
    <m/>
    <m/>
    <m/>
    <m/>
    <m/>
    <n v="0"/>
    <n v="0"/>
    <n v="0"/>
    <n v="0"/>
    <n v="0"/>
    <n v="0"/>
    <n v="0"/>
    <n v="0"/>
    <n v="0"/>
    <n v="0"/>
    <n v="0"/>
    <s v="MMR012CMP064"/>
    <s v="Close"/>
  </r>
  <r>
    <x v="155"/>
    <n v="2012"/>
    <d v="2012-06-30T00:00:00"/>
    <x v="3"/>
    <m/>
    <x v="0"/>
    <x v="0"/>
    <s v="TanTan"/>
    <m/>
    <m/>
    <m/>
    <m/>
    <n v="20"/>
    <m/>
    <m/>
    <m/>
    <m/>
    <m/>
    <m/>
    <n v="0"/>
    <n v="0"/>
    <n v="0"/>
    <n v="0"/>
    <n v="0"/>
    <n v="0"/>
    <n v="0"/>
    <n v="0"/>
    <n v="0"/>
    <n v="0"/>
    <n v="0"/>
    <s v=""/>
    <s v=""/>
  </r>
  <r>
    <x v="155"/>
    <n v="2012"/>
    <d v="2012-06-30T00:00:00"/>
    <x v="3"/>
    <m/>
    <x v="0"/>
    <x v="0"/>
    <s v="Tha Ma Da ZTK"/>
    <m/>
    <m/>
    <m/>
    <m/>
    <n v="35"/>
    <m/>
    <m/>
    <m/>
    <m/>
    <m/>
    <m/>
    <n v="0"/>
    <n v="0"/>
    <n v="0"/>
    <n v="0"/>
    <n v="0"/>
    <n v="0"/>
    <n v="0"/>
    <n v="0"/>
    <n v="0"/>
    <n v="0"/>
    <n v="0"/>
    <s v=""/>
    <s v=""/>
  </r>
  <r>
    <x v="156"/>
    <n v="2012"/>
    <d v="2012-06-29T00:00:00"/>
    <x v="3"/>
    <m/>
    <x v="0"/>
    <x v="0"/>
    <s v="Dak Kaung Monastery"/>
    <m/>
    <m/>
    <m/>
    <m/>
    <n v="66"/>
    <m/>
    <m/>
    <m/>
    <m/>
    <m/>
    <m/>
    <n v="0"/>
    <n v="0"/>
    <n v="0"/>
    <n v="0"/>
    <n v="0"/>
    <n v="0"/>
    <n v="0"/>
    <n v="0"/>
    <n v="0"/>
    <n v="0"/>
    <n v="0"/>
    <s v="MMR012CMP059"/>
    <s v="Close"/>
  </r>
  <r>
    <x v="156"/>
    <n v="2012"/>
    <d v="2012-06-29T00:00:00"/>
    <x v="3"/>
    <m/>
    <x v="0"/>
    <x v="0"/>
    <s v="Mahar Zay Ya Theik"/>
    <m/>
    <m/>
    <m/>
    <m/>
    <n v="37"/>
    <m/>
    <m/>
    <m/>
    <m/>
    <m/>
    <m/>
    <n v="0"/>
    <n v="0"/>
    <n v="0"/>
    <n v="0"/>
    <n v="0"/>
    <n v="0"/>
    <n v="0"/>
    <n v="0"/>
    <n v="0"/>
    <n v="0"/>
    <n v="0"/>
    <s v=""/>
    <s v=""/>
  </r>
  <r>
    <x v="156"/>
    <n v="2012"/>
    <d v="2012-06-29T00:00:00"/>
    <x v="3"/>
    <m/>
    <x v="0"/>
    <x v="0"/>
    <s v="Myo Ma Monastery"/>
    <m/>
    <m/>
    <m/>
    <m/>
    <n v="66"/>
    <m/>
    <m/>
    <m/>
    <m/>
    <m/>
    <m/>
    <n v="0"/>
    <n v="0"/>
    <n v="0"/>
    <n v="0"/>
    <n v="0"/>
    <n v="0"/>
    <n v="0"/>
    <n v="0"/>
    <n v="0"/>
    <n v="0"/>
    <n v="0"/>
    <s v="MMR012CMP063"/>
    <s v="Close"/>
  </r>
  <r>
    <x v="156"/>
    <n v="2012"/>
    <d v="2012-06-29T00:00:00"/>
    <x v="3"/>
    <m/>
    <x v="0"/>
    <x v="0"/>
    <s v="Sin Ku Lann Monastery"/>
    <m/>
    <m/>
    <m/>
    <m/>
    <n v="62"/>
    <m/>
    <m/>
    <m/>
    <m/>
    <m/>
    <m/>
    <n v="0"/>
    <n v="0"/>
    <n v="0"/>
    <n v="0"/>
    <n v="0"/>
    <n v="0"/>
    <n v="0"/>
    <n v="0"/>
    <n v="0"/>
    <n v="0"/>
    <n v="0"/>
    <s v="MMR012CMP068"/>
    <s v="Close"/>
  </r>
  <r>
    <x v="156"/>
    <n v="2012"/>
    <d v="2012-06-29T00:00:00"/>
    <x v="3"/>
    <m/>
    <x v="0"/>
    <x v="0"/>
    <s v="Thet Kae Pyin "/>
    <m/>
    <m/>
    <m/>
    <m/>
    <n v="200"/>
    <m/>
    <m/>
    <m/>
    <m/>
    <m/>
    <m/>
    <n v="0"/>
    <n v="0"/>
    <n v="0"/>
    <n v="0"/>
    <n v="0"/>
    <n v="0"/>
    <n v="0"/>
    <n v="0"/>
    <n v="0"/>
    <n v="0"/>
    <n v="0"/>
    <s v="MMR012CMP048"/>
    <s v="Open"/>
  </r>
  <r>
    <x v="157"/>
    <n v="2012"/>
    <d v="2012-06-28T00:00:00"/>
    <x v="3"/>
    <m/>
    <x v="0"/>
    <x v="0"/>
    <s v="Da Ma Set Kyar"/>
    <m/>
    <m/>
    <m/>
    <m/>
    <n v="52"/>
    <m/>
    <m/>
    <m/>
    <m/>
    <m/>
    <m/>
    <n v="0"/>
    <n v="0"/>
    <n v="0"/>
    <n v="0"/>
    <n v="0"/>
    <n v="0"/>
    <n v="0"/>
    <n v="0"/>
    <n v="0"/>
    <n v="0"/>
    <n v="0"/>
    <s v=""/>
    <s v=""/>
  </r>
  <r>
    <x v="157"/>
    <n v="2012"/>
    <d v="2012-06-28T00:00:00"/>
    <x v="3"/>
    <m/>
    <x v="0"/>
    <x v="0"/>
    <s v="Dar Pai"/>
    <m/>
    <m/>
    <m/>
    <m/>
    <n v="300"/>
    <m/>
    <m/>
    <m/>
    <m/>
    <m/>
    <m/>
    <n v="0"/>
    <n v="0"/>
    <n v="0"/>
    <n v="0"/>
    <n v="0"/>
    <n v="0"/>
    <n v="0"/>
    <n v="0"/>
    <n v="0"/>
    <n v="0"/>
    <n v="0"/>
    <s v="MMR012CMP041"/>
    <s v="Open"/>
  </r>
  <r>
    <x v="157"/>
    <n v="2012"/>
    <d v="2012-06-28T00:00:00"/>
    <x v="3"/>
    <m/>
    <x v="0"/>
    <x v="0"/>
    <s v="Kaw Nyar Na"/>
    <m/>
    <m/>
    <m/>
    <m/>
    <n v="9"/>
    <m/>
    <m/>
    <m/>
    <m/>
    <m/>
    <m/>
    <n v="0"/>
    <n v="0"/>
    <n v="0"/>
    <n v="0"/>
    <n v="0"/>
    <n v="0"/>
    <n v="0"/>
    <n v="0"/>
    <n v="0"/>
    <n v="0"/>
    <n v="0"/>
    <s v=""/>
    <s v=""/>
  </r>
  <r>
    <x v="157"/>
    <n v="2012"/>
    <d v="2012-06-28T00:00:00"/>
    <x v="3"/>
    <m/>
    <x v="0"/>
    <x v="0"/>
    <s v="Phyin Nyar Ag Myay"/>
    <m/>
    <m/>
    <m/>
    <m/>
    <n v="11"/>
    <m/>
    <m/>
    <m/>
    <m/>
    <m/>
    <m/>
    <n v="0"/>
    <n v="0"/>
    <n v="0"/>
    <n v="0"/>
    <n v="0"/>
    <n v="0"/>
    <n v="0"/>
    <n v="0"/>
    <n v="0"/>
    <n v="0"/>
    <n v="0"/>
    <s v=""/>
    <s v=""/>
  </r>
  <r>
    <x v="157"/>
    <n v="2012"/>
    <d v="2012-06-28T00:00:00"/>
    <x v="3"/>
    <m/>
    <x v="0"/>
    <x v="0"/>
    <s v="Sit Kae Taw Min"/>
    <m/>
    <m/>
    <m/>
    <m/>
    <n v="89"/>
    <m/>
    <m/>
    <m/>
    <m/>
    <m/>
    <m/>
    <n v="0"/>
    <n v="0"/>
    <n v="0"/>
    <n v="0"/>
    <n v="0"/>
    <n v="0"/>
    <n v="0"/>
    <n v="0"/>
    <n v="0"/>
    <n v="0"/>
    <n v="0"/>
    <s v=""/>
    <s v=""/>
  </r>
  <r>
    <x v="158"/>
    <n v="2012"/>
    <d v="2012-06-27T00:00:00"/>
    <x v="3"/>
    <m/>
    <x v="0"/>
    <x v="0"/>
    <s v="Ma Ni Yadanar Monastery"/>
    <m/>
    <m/>
    <m/>
    <m/>
    <n v="120"/>
    <m/>
    <m/>
    <m/>
    <m/>
    <m/>
    <m/>
    <n v="0"/>
    <n v="0"/>
    <n v="0"/>
    <n v="0"/>
    <n v="0"/>
    <n v="0"/>
    <n v="0"/>
    <n v="0"/>
    <n v="0"/>
    <n v="0"/>
    <n v="0"/>
    <s v="MMR012CMP072"/>
    <s v="Close"/>
  </r>
  <r>
    <x v="158"/>
    <n v="2012"/>
    <d v="2012-06-27T00:00:00"/>
    <x v="3"/>
    <m/>
    <x v="0"/>
    <x v="0"/>
    <s v="MahaKuthaLa"/>
    <m/>
    <m/>
    <m/>
    <m/>
    <n v="11"/>
    <m/>
    <m/>
    <m/>
    <m/>
    <m/>
    <m/>
    <n v="0"/>
    <n v="0"/>
    <n v="0"/>
    <n v="0"/>
    <n v="0"/>
    <n v="0"/>
    <n v="0"/>
    <n v="0"/>
    <n v="0"/>
    <n v="0"/>
    <n v="0"/>
    <s v=""/>
    <s v=""/>
  </r>
  <r>
    <x v="158"/>
    <n v="2012"/>
    <d v="2012-06-27T00:00:00"/>
    <x v="3"/>
    <m/>
    <x v="0"/>
    <x v="0"/>
    <s v="U Ye Kyaw Thu"/>
    <m/>
    <m/>
    <m/>
    <m/>
    <n v="200"/>
    <m/>
    <m/>
    <m/>
    <m/>
    <m/>
    <m/>
    <n v="0"/>
    <n v="0"/>
    <n v="0"/>
    <n v="0"/>
    <n v="0"/>
    <n v="0"/>
    <n v="0"/>
    <n v="0"/>
    <n v="0"/>
    <n v="0"/>
    <n v="0"/>
    <s v=""/>
    <s v=""/>
  </r>
  <r>
    <x v="30"/>
    <n v="2015"/>
    <d v="2015-06-15T00:00:00"/>
    <x v="3"/>
    <s v="CFSI"/>
    <x v="0"/>
    <x v="6"/>
    <s v="Ah Htet Nan Yar"/>
    <n v="0"/>
    <n v="0"/>
    <n v="0"/>
    <n v="0"/>
    <n v="10"/>
    <n v="0"/>
    <n v="0"/>
    <n v="0"/>
    <n v="0"/>
    <n v="0"/>
    <n v="0"/>
    <n v="0"/>
    <n v="0"/>
    <n v="0"/>
    <n v="0"/>
    <n v="10"/>
    <n v="0"/>
    <n v="0"/>
    <n v="0"/>
    <n v="0"/>
    <n v="0"/>
    <n v="0"/>
    <s v="MMR012CMP034"/>
    <s v="Open"/>
  </r>
  <r>
    <x v="159"/>
    <n v="2015"/>
    <d v="2015-07-23T00:00:00"/>
    <x v="3"/>
    <s v="UNHCR"/>
    <x v="0"/>
    <x v="6"/>
    <s v="Koe Tan Kauk"/>
    <n v="0"/>
    <n v="0"/>
    <n v="0"/>
    <n v="0"/>
    <n v="217"/>
    <n v="0"/>
    <n v="0"/>
    <n v="0"/>
    <n v="0"/>
    <n v="0"/>
    <n v="0"/>
    <n v="0"/>
    <n v="0"/>
    <n v="0"/>
    <n v="0"/>
    <n v="217"/>
    <n v="0"/>
    <n v="0"/>
    <n v="0"/>
    <n v="0"/>
    <n v="0"/>
    <n v="0"/>
    <s v="MMR012CMP110"/>
    <s v="Open"/>
  </r>
  <r>
    <x v="159"/>
    <n v="2015"/>
    <d v="2015-07-23T00:00:00"/>
    <x v="3"/>
    <s v="UNHCR"/>
    <x v="0"/>
    <x v="6"/>
    <s v="Chein Khar Li (Ku Lar)"/>
    <n v="0"/>
    <n v="0"/>
    <n v="0"/>
    <n v="0"/>
    <n v="167"/>
    <n v="0"/>
    <n v="0"/>
    <n v="0"/>
    <n v="0"/>
    <n v="0"/>
    <n v="0"/>
    <n v="0"/>
    <n v="0"/>
    <n v="0"/>
    <n v="0"/>
    <n v="167"/>
    <n v="0"/>
    <n v="0"/>
    <n v="0"/>
    <n v="0"/>
    <n v="0"/>
    <n v="0"/>
    <s v=""/>
    <s v=""/>
  </r>
  <r>
    <x v="6"/>
    <n v="2015"/>
    <d v="2015-09-17T00:00:00"/>
    <x v="3"/>
    <s v="CFSI"/>
    <x v="0"/>
    <x v="6"/>
    <s v="Chein Khar Li (Ku Lar)"/>
    <n v="0"/>
    <n v="0"/>
    <n v="0"/>
    <n v="0"/>
    <n v="10"/>
    <n v="0"/>
    <n v="0"/>
    <n v="0"/>
    <n v="0"/>
    <n v="0"/>
    <n v="0"/>
    <n v="0"/>
    <n v="0"/>
    <n v="0"/>
    <n v="0"/>
    <n v="10"/>
    <n v="0"/>
    <n v="0"/>
    <n v="0"/>
    <n v="0"/>
    <n v="0"/>
    <n v="0"/>
    <s v=""/>
    <s v=""/>
  </r>
  <r>
    <x v="160"/>
    <n v="2015"/>
    <d v="2015-10-27T00:00:00"/>
    <x v="3"/>
    <s v="CFSI"/>
    <x v="0"/>
    <x v="6"/>
    <s v="Ah Nauk Pyin"/>
    <n v="0"/>
    <n v="0"/>
    <n v="0"/>
    <n v="0"/>
    <n v="5"/>
    <n v="0"/>
    <n v="0"/>
    <n v="0"/>
    <n v="0"/>
    <n v="0"/>
    <n v="0"/>
    <n v="0"/>
    <n v="0"/>
    <n v="0"/>
    <n v="0"/>
    <n v="5"/>
    <n v="0"/>
    <n v="0"/>
    <n v="0"/>
    <n v="0"/>
    <n v="0"/>
    <n v="0"/>
    <s v="MMR012CMP032"/>
    <s v="Open"/>
  </r>
  <r>
    <x v="161"/>
    <n v="2015"/>
    <d v="2015-11-03T00:00:00"/>
    <x v="3"/>
    <s v="CFSI"/>
    <x v="0"/>
    <x v="6"/>
    <s v="Ah Htet Nan Yar"/>
    <n v="0"/>
    <n v="0"/>
    <n v="0"/>
    <n v="0"/>
    <n v="7"/>
    <n v="0"/>
    <n v="0"/>
    <n v="0"/>
    <n v="0"/>
    <n v="0"/>
    <n v="0"/>
    <n v="0"/>
    <n v="0"/>
    <n v="0"/>
    <n v="0"/>
    <n v="7"/>
    <n v="0"/>
    <n v="0"/>
    <n v="0"/>
    <n v="0"/>
    <n v="0"/>
    <n v="0"/>
    <s v="MMR012CMP034"/>
    <s v="Open"/>
  </r>
</pivotCacheRecords>
</file>

<file path=xl/pivotCache/pivotCacheRecords6.xml><?xml version="1.0" encoding="utf-8"?>
<pivotCacheRecords xmlns="http://schemas.openxmlformats.org/spreadsheetml/2006/main" xmlns:r="http://schemas.openxmlformats.org/officeDocument/2006/relationships" count="134">
  <r>
    <d v="2015-09-21T00:00:00"/>
    <x v="0"/>
    <s v="UNHCR"/>
    <x v="0"/>
    <x v="0"/>
    <s v="Khaung Htoke"/>
    <n v="1"/>
    <n v="17"/>
    <n v="17"/>
    <m/>
    <m/>
    <m/>
    <m/>
    <m/>
    <m/>
    <m/>
    <m/>
    <m/>
    <n v="0"/>
    <n v="0"/>
    <m/>
    <s v="Open"/>
    <n v="0"/>
    <n v="0"/>
    <n v="0"/>
  </r>
  <r>
    <d v="2015-07-01T00:00:00"/>
    <x v="1"/>
    <s v="Government"/>
    <x v="0"/>
    <x v="1"/>
    <s v="Kyauk Ta Lone"/>
    <n v="1"/>
    <m/>
    <m/>
    <m/>
    <m/>
    <m/>
    <n v="47"/>
    <m/>
    <m/>
    <m/>
    <m/>
    <m/>
    <n v="0"/>
    <n v="0"/>
    <s v="MMR012CMP035"/>
    <s v="Open"/>
    <n v="0"/>
    <n v="47"/>
    <n v="0"/>
  </r>
  <r>
    <d v="2015-07-01T00:00:00"/>
    <x v="1"/>
    <s v="Government"/>
    <x v="0"/>
    <x v="1"/>
    <s v="Pha Yar Gyi Kwin"/>
    <n v="1"/>
    <m/>
    <m/>
    <m/>
    <m/>
    <m/>
    <n v="53"/>
    <m/>
    <m/>
    <m/>
    <m/>
    <m/>
    <n v="0"/>
    <n v="0"/>
    <s v=""/>
    <s v=""/>
    <s v=""/>
    <n v="53"/>
    <n v="0"/>
  </r>
  <r>
    <d v="2015-07-01T00:00:00"/>
    <x v="1"/>
    <s v="Government"/>
    <x v="0"/>
    <x v="0"/>
    <s v="Ah Lel"/>
    <n v="1"/>
    <m/>
    <m/>
    <m/>
    <m/>
    <m/>
    <m/>
    <m/>
    <m/>
    <n v="26"/>
    <n v="26"/>
    <m/>
    <n v="26"/>
    <n v="26"/>
    <s v="MMR012CMP022"/>
    <s v="Open"/>
    <n v="1.0833333333333333"/>
    <n v="26"/>
    <n v="26"/>
  </r>
  <r>
    <d v="2015-07-01T00:00:00"/>
    <x v="1"/>
    <s v="Government"/>
    <x v="0"/>
    <x v="0"/>
    <s v="Ah Lel"/>
    <n v="1"/>
    <m/>
    <m/>
    <m/>
    <m/>
    <m/>
    <m/>
    <m/>
    <m/>
    <n v="14"/>
    <n v="14"/>
    <m/>
    <n v="14"/>
    <n v="14"/>
    <s v="MMR012CMP025"/>
    <s v="Open"/>
    <n v="0.58333333333333337"/>
    <n v="14"/>
    <n v="14"/>
  </r>
  <r>
    <d v="2015-07-01T00:00:00"/>
    <x v="1"/>
    <s v="Government"/>
    <x v="0"/>
    <x v="0"/>
    <s v="Ah Pauk Wa "/>
    <n v="1"/>
    <m/>
    <m/>
    <m/>
    <m/>
    <m/>
    <m/>
    <m/>
    <m/>
    <n v="48"/>
    <n v="48"/>
    <m/>
    <n v="48"/>
    <n v="48"/>
    <s v="MMR012CMP024"/>
    <s v="Open"/>
    <n v="0.52173913043478259"/>
    <n v="48"/>
    <n v="48"/>
  </r>
  <r>
    <d v="2015-07-01T00:00:00"/>
    <x v="1"/>
    <s v="Government"/>
    <x v="0"/>
    <x v="0"/>
    <s v="Let Saung Kauk"/>
    <n v="1"/>
    <m/>
    <m/>
    <m/>
    <m/>
    <m/>
    <m/>
    <m/>
    <m/>
    <n v="18"/>
    <n v="18"/>
    <m/>
    <n v="18"/>
    <n v="18"/>
    <s v="MMR012CMP020"/>
    <s v="Open"/>
    <n v="1"/>
    <n v="18"/>
    <n v="18"/>
  </r>
  <r>
    <d v="2015-07-01T00:00:00"/>
    <x v="1"/>
    <s v="Government"/>
    <x v="0"/>
    <x v="0"/>
    <s v="Taung Bwe"/>
    <n v="1"/>
    <m/>
    <m/>
    <m/>
    <m/>
    <m/>
    <m/>
    <m/>
    <m/>
    <n v="62"/>
    <n v="62"/>
    <m/>
    <n v="62"/>
    <n v="62"/>
    <s v="MMR012CMP021"/>
    <s v="Open"/>
    <n v="0.98412698412698407"/>
    <n v="62"/>
    <n v="62"/>
  </r>
  <r>
    <d v="2015-07-01T00:00:00"/>
    <x v="1"/>
    <s v="Government"/>
    <x v="0"/>
    <x v="2"/>
    <s v="Aung Taing"/>
    <n v="1"/>
    <m/>
    <m/>
    <m/>
    <m/>
    <m/>
    <m/>
    <m/>
    <m/>
    <n v="44"/>
    <n v="44"/>
    <m/>
    <n v="44"/>
    <n v="44"/>
    <s v="MMR012CMP006"/>
    <s v="Open"/>
    <n v="0.51162790697674421"/>
    <n v="44"/>
    <n v="44"/>
  </r>
  <r>
    <d v="2015-07-01T00:00:00"/>
    <x v="1"/>
    <s v="Government"/>
    <x v="0"/>
    <x v="2"/>
    <s v="Paik Thay"/>
    <n v="1"/>
    <m/>
    <m/>
    <m/>
    <m/>
    <m/>
    <m/>
    <m/>
    <m/>
    <n v="19"/>
    <n v="19"/>
    <m/>
    <n v="19"/>
    <n v="19"/>
    <s v="MMR012CMP001"/>
    <s v="Open"/>
    <n v="1"/>
    <n v="19"/>
    <n v="19"/>
  </r>
  <r>
    <d v="2015-07-01T00:00:00"/>
    <x v="1"/>
    <s v="Government"/>
    <x v="0"/>
    <x v="2"/>
    <s v="Sam Ba Le"/>
    <n v="1"/>
    <m/>
    <m/>
    <m/>
    <m/>
    <m/>
    <m/>
    <m/>
    <m/>
    <n v="110"/>
    <n v="110"/>
    <m/>
    <n v="110"/>
    <n v="110"/>
    <s v="MMR012CMP008"/>
    <s v="Open"/>
    <n v="0.48888888888888887"/>
    <n v="110"/>
    <n v="110"/>
  </r>
  <r>
    <d v="2015-07-01T00:00:00"/>
    <x v="1"/>
    <s v="Government"/>
    <x v="0"/>
    <x v="2"/>
    <s v="San Htoe Tan"/>
    <n v="1"/>
    <m/>
    <m/>
    <m/>
    <m/>
    <m/>
    <m/>
    <m/>
    <m/>
    <n v="43"/>
    <n v="43"/>
    <m/>
    <n v="43"/>
    <n v="43"/>
    <s v="MMR012CMP003"/>
    <s v="Open"/>
    <n v="0.5"/>
    <n v="43"/>
    <n v="43"/>
  </r>
  <r>
    <d v="2015-07-01T00:00:00"/>
    <x v="1"/>
    <s v="Government"/>
    <x v="0"/>
    <x v="2"/>
    <s v="Cheik Thaung"/>
    <n v="1"/>
    <m/>
    <m/>
    <m/>
    <m/>
    <m/>
    <n v="4"/>
    <n v="4"/>
    <m/>
    <m/>
    <m/>
    <m/>
    <n v="4"/>
    <n v="0"/>
    <s v=""/>
    <s v=""/>
    <s v=""/>
    <n v="4"/>
    <n v="4"/>
  </r>
  <r>
    <d v="2015-07-01T00:00:00"/>
    <x v="1"/>
    <s v="Government"/>
    <x v="0"/>
    <x v="2"/>
    <s v="Set Yone Maw"/>
    <n v="1"/>
    <m/>
    <m/>
    <m/>
    <m/>
    <m/>
    <n v="18"/>
    <n v="18"/>
    <m/>
    <m/>
    <m/>
    <m/>
    <n v="18"/>
    <n v="18"/>
    <s v="MMR012CMP104"/>
    <s v="Open"/>
    <n v="1.0588235294117647"/>
    <n v="18"/>
    <n v="18"/>
  </r>
  <r>
    <d v="2015-07-01T00:00:00"/>
    <x v="1"/>
    <s v="Government"/>
    <x v="0"/>
    <x v="2"/>
    <s v="Tha Dar"/>
    <n v="1"/>
    <m/>
    <m/>
    <m/>
    <m/>
    <m/>
    <m/>
    <m/>
    <m/>
    <n v="96"/>
    <n v="96"/>
    <m/>
    <n v="96"/>
    <n v="96"/>
    <s v="MMR012CMP002"/>
    <s v="Open"/>
    <n v="0.47290640394088668"/>
    <n v="96"/>
    <n v="96"/>
  </r>
  <r>
    <d v="2015-07-01T00:00:00"/>
    <x v="1"/>
    <s v="Government"/>
    <x v="0"/>
    <x v="2"/>
    <s v="Tha Yet Oak"/>
    <n v="1"/>
    <m/>
    <m/>
    <m/>
    <m/>
    <m/>
    <m/>
    <m/>
    <m/>
    <n v="139"/>
    <n v="139"/>
    <m/>
    <n v="139"/>
    <n v="139"/>
    <s v="MMR012CMP005"/>
    <s v="Open"/>
    <n v="0.50545454545454549"/>
    <n v="139"/>
    <n v="139"/>
  </r>
  <r>
    <d v="2015-07-01T00:00:00"/>
    <x v="1"/>
    <s v="Government"/>
    <x v="0"/>
    <x v="3"/>
    <s v="Pa Rein"/>
    <n v="1"/>
    <m/>
    <m/>
    <m/>
    <m/>
    <m/>
    <m/>
    <m/>
    <m/>
    <n v="102"/>
    <n v="102"/>
    <m/>
    <n v="102"/>
    <n v="102"/>
    <s v="MMR012CMP009"/>
    <s v="Open"/>
    <n v="0.5"/>
    <n v="102"/>
    <n v="102"/>
  </r>
  <r>
    <d v="2015-07-01T00:00:00"/>
    <x v="1"/>
    <s v="Government"/>
    <x v="0"/>
    <x v="3"/>
    <s v="Raw Ma Ni Sin Oe"/>
    <n v="1"/>
    <m/>
    <m/>
    <m/>
    <m/>
    <m/>
    <n v="10"/>
    <n v="10"/>
    <m/>
    <m/>
    <m/>
    <m/>
    <n v="10"/>
    <n v="10"/>
    <s v="MMR012CMP012"/>
    <s v="Open"/>
    <n v="1"/>
    <n v="10"/>
    <n v="10"/>
  </r>
  <r>
    <d v="2015-07-01T00:00:00"/>
    <x v="1"/>
    <s v="Government"/>
    <x v="0"/>
    <x v="3"/>
    <s v="Thi Kyar"/>
    <n v="1"/>
    <m/>
    <m/>
    <m/>
    <m/>
    <m/>
    <n v="32"/>
    <n v="32"/>
    <m/>
    <m/>
    <m/>
    <m/>
    <n v="32"/>
    <n v="32"/>
    <s v="MMR012CMP117"/>
    <s v="Open"/>
    <n v="1.032258064516129"/>
    <n v="32"/>
    <n v="32"/>
  </r>
  <r>
    <d v="2015-07-01T00:00:00"/>
    <x v="1"/>
    <s v="Government"/>
    <x v="0"/>
    <x v="3"/>
    <s v="Yai Thei-Muslim"/>
    <n v="1"/>
    <m/>
    <m/>
    <m/>
    <m/>
    <m/>
    <m/>
    <m/>
    <m/>
    <n v="182"/>
    <n v="182"/>
    <m/>
    <n v="182"/>
    <n v="182"/>
    <s v="MMR012CMP010"/>
    <s v="Open"/>
    <n v="0.49863013698630138"/>
    <n v="182"/>
    <n v="182"/>
  </r>
  <r>
    <d v="2015-07-01T00:00:00"/>
    <x v="0"/>
    <s v="LWF"/>
    <x v="0"/>
    <x v="3"/>
    <s v="Pa Rein"/>
    <n v="1"/>
    <m/>
    <m/>
    <m/>
    <m/>
    <m/>
    <m/>
    <m/>
    <m/>
    <n v="102"/>
    <m/>
    <m/>
    <n v="0"/>
    <n v="0"/>
    <s v="MMR012CMP009"/>
    <s v="Open"/>
    <n v="0"/>
    <n v="102"/>
    <n v="0"/>
  </r>
  <r>
    <d v="2015-07-01T00:00:00"/>
    <x v="0"/>
    <s v="LWF"/>
    <x v="0"/>
    <x v="3"/>
    <s v="Yai Thei-Muslim"/>
    <n v="1"/>
    <m/>
    <m/>
    <m/>
    <m/>
    <m/>
    <m/>
    <m/>
    <m/>
    <n v="183"/>
    <m/>
    <m/>
    <n v="0"/>
    <n v="0"/>
    <s v="MMR012CMP010"/>
    <s v="Open"/>
    <n v="0"/>
    <n v="183"/>
    <n v="0"/>
  </r>
  <r>
    <d v="2015-07-01T00:00:00"/>
    <x v="1"/>
    <s v="Government"/>
    <x v="0"/>
    <x v="4"/>
    <s v="Kan Thar Htwat Wa"/>
    <n v="1"/>
    <m/>
    <m/>
    <m/>
    <m/>
    <m/>
    <n v="42"/>
    <m/>
    <m/>
    <m/>
    <m/>
    <m/>
    <n v="0"/>
    <n v="0"/>
    <s v="MMR012CMP013"/>
    <s v="Open"/>
    <n v="0"/>
    <n v="42"/>
    <n v="0"/>
  </r>
  <r>
    <d v="2015-07-01T00:00:00"/>
    <x v="1"/>
    <s v="Government"/>
    <x v="0"/>
    <x v="5"/>
    <s v="Kyein Ni Pyin"/>
    <n v="1"/>
    <m/>
    <m/>
    <m/>
    <m/>
    <m/>
    <m/>
    <m/>
    <m/>
    <n v="112"/>
    <n v="112"/>
    <m/>
    <n v="112"/>
    <n v="112"/>
    <s v="MMR012CMP018"/>
    <s v="Open"/>
    <n v="9.7222222222222224E-2"/>
    <n v="112"/>
    <n v="112"/>
  </r>
  <r>
    <d v="2015-07-01T00:00:00"/>
    <x v="1"/>
    <s v="Government"/>
    <x v="0"/>
    <x v="5"/>
    <s v="Nget Chaung"/>
    <n v="1"/>
    <m/>
    <m/>
    <m/>
    <m/>
    <m/>
    <m/>
    <m/>
    <m/>
    <n v="660"/>
    <n v="660"/>
    <m/>
    <n v="660"/>
    <n v="660"/>
    <s v="MMR012CMP017"/>
    <s v="Open"/>
    <n v="0.42226487523992323"/>
    <n v="660"/>
    <n v="660"/>
  </r>
  <r>
    <d v="2015-07-01T00:00:00"/>
    <x v="0"/>
    <s v="LWF"/>
    <x v="0"/>
    <x v="5"/>
    <s v="Nget Chaung"/>
    <n v="1"/>
    <m/>
    <m/>
    <m/>
    <m/>
    <m/>
    <m/>
    <m/>
    <m/>
    <n v="36"/>
    <m/>
    <m/>
    <n v="0"/>
    <n v="0"/>
    <s v="MMR012CMP017"/>
    <s v="Open"/>
    <n v="0"/>
    <n v="36"/>
    <n v="0"/>
  </r>
  <r>
    <d v="2015-07-01T00:00:00"/>
    <x v="1"/>
    <s v="Government"/>
    <x v="0"/>
    <x v="6"/>
    <s v="Ramree Town"/>
    <n v="1"/>
    <m/>
    <m/>
    <m/>
    <m/>
    <m/>
    <n v="3"/>
    <m/>
    <m/>
    <m/>
    <m/>
    <m/>
    <n v="0"/>
    <n v="0"/>
    <s v="MMR012CMP038"/>
    <s v="Open"/>
    <n v="0"/>
    <n v="3"/>
    <n v="0"/>
  </r>
  <r>
    <d v="2015-07-01T00:00:00"/>
    <x v="1"/>
    <s v="Government"/>
    <x v="0"/>
    <x v="6"/>
    <s v="Ramree Ward 6"/>
    <n v="1"/>
    <m/>
    <m/>
    <m/>
    <m/>
    <m/>
    <n v="59"/>
    <m/>
    <m/>
    <m/>
    <m/>
    <m/>
    <n v="0"/>
    <n v="0"/>
    <s v="MMR012CMP037"/>
    <s v="Open"/>
    <n v="0"/>
    <n v="59"/>
    <n v="0"/>
  </r>
  <r>
    <d v="2015-07-01T00:00:00"/>
    <x v="1"/>
    <s v="Government"/>
    <x v="0"/>
    <x v="7"/>
    <s v="Ah Nauk Pyin"/>
    <n v="1"/>
    <m/>
    <m/>
    <m/>
    <m/>
    <m/>
    <m/>
    <m/>
    <m/>
    <n v="32"/>
    <n v="32"/>
    <m/>
    <n v="32"/>
    <n v="32"/>
    <s v="MMR012CMP032"/>
    <s v="Open"/>
    <n v="1"/>
    <n v="32"/>
    <n v="32"/>
  </r>
  <r>
    <d v="2015-07-01T00:00:00"/>
    <x v="1"/>
    <s v="Government"/>
    <x v="0"/>
    <x v="7"/>
    <s v="Nyaung Pin Gyi"/>
    <n v="1"/>
    <m/>
    <m/>
    <m/>
    <m/>
    <m/>
    <m/>
    <m/>
    <m/>
    <n v="56"/>
    <n v="56"/>
    <m/>
    <n v="56"/>
    <n v="56"/>
    <s v="MMR012CMP031"/>
    <s v="Open"/>
    <n v="1.037037037037037"/>
    <n v="56"/>
    <n v="56"/>
  </r>
  <r>
    <d v="2015-07-01T00:00:00"/>
    <x v="0"/>
    <s v="UNHCR"/>
    <x v="0"/>
    <x v="8"/>
    <s v="Set Yone Su"/>
    <n v="1"/>
    <m/>
    <m/>
    <m/>
    <m/>
    <m/>
    <n v="72"/>
    <n v="72"/>
    <m/>
    <m/>
    <m/>
    <m/>
    <n v="72"/>
    <n v="72"/>
    <s v="MMR012CMP056"/>
    <s v="Open"/>
    <n v="1"/>
    <n v="72"/>
    <n v="72"/>
  </r>
  <r>
    <d v="2015-07-01T00:00:00"/>
    <x v="1"/>
    <s v="Government"/>
    <x v="0"/>
    <x v="0"/>
    <s v="Goke Pi Htaunt"/>
    <n v="1"/>
    <m/>
    <m/>
    <m/>
    <m/>
    <m/>
    <m/>
    <m/>
    <m/>
    <n v="116"/>
    <m/>
    <m/>
    <n v="0"/>
    <n v="0"/>
    <s v="MMR012CMP027"/>
    <s v="Open"/>
    <n v="0"/>
    <n v="116"/>
    <n v="0"/>
  </r>
  <r>
    <d v="2015-07-01T00:00:00"/>
    <x v="1"/>
    <s v="Government"/>
    <x v="0"/>
    <x v="0"/>
    <s v="In Bar Yi"/>
    <n v="1"/>
    <m/>
    <m/>
    <m/>
    <m/>
    <m/>
    <m/>
    <m/>
    <m/>
    <n v="236"/>
    <m/>
    <m/>
    <n v="0"/>
    <n v="0"/>
    <s v="MMR012CMP026"/>
    <s v="Open"/>
    <n v="0"/>
    <n v="236"/>
    <n v="0"/>
  </r>
  <r>
    <d v="2015-07-01T00:00:00"/>
    <x v="1"/>
    <s v="Government"/>
    <x v="0"/>
    <x v="0"/>
    <s v="Nidin"/>
    <n v="1"/>
    <m/>
    <m/>
    <m/>
    <m/>
    <m/>
    <m/>
    <m/>
    <m/>
    <n v="85"/>
    <m/>
    <m/>
    <n v="0"/>
    <n v="0"/>
    <s v="MMR012CMP023"/>
    <s v="Open"/>
    <n v="0"/>
    <n v="85"/>
    <n v="0"/>
  </r>
  <r>
    <d v="2015-07-01T00:00:00"/>
    <x v="1"/>
    <s v="Government"/>
    <x v="0"/>
    <x v="0"/>
    <s v="Shwe Hlaing"/>
    <n v="1"/>
    <m/>
    <m/>
    <m/>
    <m/>
    <m/>
    <m/>
    <m/>
    <m/>
    <n v="144"/>
    <m/>
    <m/>
    <n v="0"/>
    <n v="0"/>
    <s v="MMR012CMP029"/>
    <s v="Open"/>
    <n v="0"/>
    <n v="144"/>
    <n v="0"/>
  </r>
  <r>
    <d v="2015-07-01T00:00:00"/>
    <x v="1"/>
    <s v="Government"/>
    <x v="0"/>
    <x v="0"/>
    <s v="Yun Nyar"/>
    <n v="1"/>
    <m/>
    <m/>
    <m/>
    <m/>
    <m/>
    <m/>
    <m/>
    <m/>
    <n v="112"/>
    <m/>
    <m/>
    <n v="0"/>
    <n v="0"/>
    <s v="MMR012CMP028"/>
    <s v="Open"/>
    <n v="0"/>
    <n v="112"/>
    <n v="0"/>
  </r>
  <r>
    <d v="2015-07-01T00:00:00"/>
    <x v="0"/>
    <s v="LWF"/>
    <x v="0"/>
    <x v="2"/>
    <s v="Aung Taing"/>
    <n v="1"/>
    <m/>
    <m/>
    <m/>
    <m/>
    <m/>
    <m/>
    <m/>
    <m/>
    <n v="43"/>
    <m/>
    <m/>
    <n v="0"/>
    <n v="0"/>
    <s v="MMR012CMP006"/>
    <s v="Open"/>
    <n v="0"/>
    <n v="43"/>
    <n v="0"/>
  </r>
  <r>
    <d v="2015-07-01T00:00:00"/>
    <x v="0"/>
    <s v="LWF"/>
    <x v="0"/>
    <x v="2"/>
    <s v="Sam Ba Le"/>
    <n v="1"/>
    <m/>
    <m/>
    <m/>
    <m/>
    <m/>
    <m/>
    <m/>
    <m/>
    <n v="114"/>
    <m/>
    <m/>
    <n v="0"/>
    <n v="0"/>
    <s v="MMR012CMP008"/>
    <s v="Open"/>
    <n v="0"/>
    <n v="114"/>
    <n v="0"/>
  </r>
  <r>
    <d v="2015-07-01T00:00:00"/>
    <x v="0"/>
    <s v="LWF"/>
    <x v="0"/>
    <x v="2"/>
    <s v="San Htoe Tan"/>
    <n v="1"/>
    <m/>
    <m/>
    <m/>
    <m/>
    <m/>
    <m/>
    <m/>
    <m/>
    <n v="43"/>
    <m/>
    <m/>
    <n v="0"/>
    <n v="0"/>
    <s v="MMR012CMP003"/>
    <s v="Open"/>
    <n v="0"/>
    <n v="43"/>
    <n v="0"/>
  </r>
  <r>
    <d v="2015-07-01T00:00:00"/>
    <x v="0"/>
    <s v="LWF"/>
    <x v="0"/>
    <x v="2"/>
    <s v="Tha Dar"/>
    <n v="1"/>
    <m/>
    <m/>
    <m/>
    <m/>
    <m/>
    <m/>
    <m/>
    <m/>
    <n v="107"/>
    <m/>
    <m/>
    <n v="0"/>
    <n v="0"/>
    <s v="MMR012CMP002"/>
    <s v="Open"/>
    <n v="0"/>
    <n v="107"/>
    <n v="0"/>
  </r>
  <r>
    <d v="2015-07-01T00:00:00"/>
    <x v="0"/>
    <s v="LWF"/>
    <x v="0"/>
    <x v="2"/>
    <s v="Tha Yet Oak"/>
    <n v="1"/>
    <m/>
    <m/>
    <m/>
    <m/>
    <m/>
    <m/>
    <m/>
    <m/>
    <n v="140"/>
    <m/>
    <m/>
    <n v="0"/>
    <n v="0"/>
    <s v="MMR012CMP005"/>
    <s v="Open"/>
    <n v="0"/>
    <n v="140"/>
    <n v="0"/>
  </r>
  <r>
    <d v="2015-07-01T00:00:00"/>
    <x v="0"/>
    <s v="LWF"/>
    <x v="0"/>
    <x v="0"/>
    <s v="Ah Pauk Wa "/>
    <n v="1"/>
    <m/>
    <m/>
    <m/>
    <m/>
    <m/>
    <m/>
    <m/>
    <m/>
    <n v="52"/>
    <m/>
    <m/>
    <n v="0"/>
    <n v="0"/>
    <s v="MMR012CMP024"/>
    <s v="Open"/>
    <n v="0"/>
    <n v="52"/>
    <n v="0"/>
  </r>
  <r>
    <d v="2015-07-01T00:00:00"/>
    <x v="0"/>
    <s v="LWF"/>
    <x v="0"/>
    <x v="5"/>
    <s v="Kyein Ni Pyin"/>
    <n v="1"/>
    <m/>
    <m/>
    <m/>
    <m/>
    <m/>
    <m/>
    <m/>
    <m/>
    <n v="232"/>
    <m/>
    <m/>
    <n v="0"/>
    <n v="0"/>
    <s v="MMR012CMP018"/>
    <s v="Open"/>
    <n v="0"/>
    <n v="232"/>
    <n v="0"/>
  </r>
  <r>
    <d v="2015-07-01T00:00:00"/>
    <x v="1"/>
    <s v="Government"/>
    <x v="0"/>
    <x v="5"/>
    <s v="Kyein Ni Pyin"/>
    <n v="1"/>
    <m/>
    <m/>
    <m/>
    <m/>
    <m/>
    <m/>
    <m/>
    <m/>
    <n v="647"/>
    <m/>
    <m/>
    <n v="0"/>
    <n v="0"/>
    <s v="MMR012CMP018"/>
    <s v="Open"/>
    <n v="0"/>
    <n v="647"/>
    <n v="0"/>
  </r>
  <r>
    <d v="2015-07-01T00:00:00"/>
    <x v="1"/>
    <s v="Government"/>
    <x v="0"/>
    <x v="5"/>
    <s v="Nget Chaung"/>
    <n v="1"/>
    <m/>
    <m/>
    <m/>
    <m/>
    <m/>
    <m/>
    <m/>
    <m/>
    <n v="642"/>
    <m/>
    <m/>
    <n v="0"/>
    <n v="0"/>
    <s v="MMR012CMP017"/>
    <s v="Open"/>
    <n v="0"/>
    <n v="642"/>
    <n v="0"/>
  </r>
  <r>
    <d v="2015-01-26T00:00:00"/>
    <x v="0"/>
    <s v="UNHCR"/>
    <x v="0"/>
    <x v="5"/>
    <s v="Kyein Ni Pyin"/>
    <n v="1"/>
    <n v="110"/>
    <n v="110"/>
    <m/>
    <m/>
    <m/>
    <m/>
    <m/>
    <m/>
    <m/>
    <m/>
    <m/>
    <n v="0"/>
    <n v="0"/>
    <m/>
    <s v="Open"/>
    <n v="0"/>
    <n v="0"/>
    <n v="0"/>
  </r>
  <r>
    <d v="2013-10-01T00:00:00"/>
    <x v="1"/>
    <s v="Government"/>
    <x v="0"/>
    <x v="0"/>
    <s v="Ah Lel"/>
    <n v="8"/>
    <m/>
    <m/>
    <n v="2"/>
    <n v="2"/>
    <m/>
    <m/>
    <m/>
    <m/>
    <m/>
    <m/>
    <m/>
    <n v="16"/>
    <n v="16"/>
    <s v="MMR012CMP022"/>
    <s v="Open"/>
    <n v="0.66666666666666663"/>
    <n v="0"/>
    <n v="0"/>
  </r>
  <r>
    <d v="2013-10-01T00:00:00"/>
    <x v="1"/>
    <s v="Government"/>
    <x v="0"/>
    <x v="0"/>
    <s v="Ah Lel Kyun"/>
    <n v="8"/>
    <m/>
    <m/>
    <n v="2"/>
    <n v="2"/>
    <m/>
    <m/>
    <m/>
    <m/>
    <m/>
    <m/>
    <m/>
    <n v="16"/>
    <n v="16"/>
    <s v="MMR012CMP025"/>
    <s v="Open"/>
    <n v="1.1428571428571428"/>
    <n v="0"/>
    <n v="0"/>
  </r>
  <r>
    <d v="2013-10-01T00:00:00"/>
    <x v="1"/>
    <s v="Government"/>
    <x v="0"/>
    <x v="7"/>
    <s v="Ah Nauk Pyin"/>
    <n v="8"/>
    <m/>
    <m/>
    <n v="4"/>
    <n v="4"/>
    <m/>
    <m/>
    <m/>
    <m/>
    <m/>
    <m/>
    <m/>
    <n v="32"/>
    <n v="32"/>
    <s v="MMR012CMP032"/>
    <s v="Open"/>
    <n v="1"/>
    <n v="0"/>
    <n v="0"/>
  </r>
  <r>
    <d v="2013-10-01T00:00:00"/>
    <x v="2"/>
    <s v="DRC"/>
    <x v="0"/>
    <x v="5"/>
    <s v="Ah Nauk Ywe"/>
    <n v="8"/>
    <m/>
    <m/>
    <n v="96"/>
    <n v="96"/>
    <n v="0"/>
    <m/>
    <m/>
    <m/>
    <m/>
    <m/>
    <m/>
    <n v="768"/>
    <n v="768"/>
    <s v="MMR012CMP016"/>
    <s v="Open"/>
    <n v="0.66551126516464476"/>
    <n v="0"/>
    <n v="0"/>
  </r>
  <r>
    <d v="2013-10-01T00:00:00"/>
    <x v="1"/>
    <s v="Government"/>
    <x v="0"/>
    <x v="0"/>
    <s v="Ah Pauk Wa "/>
    <n v="8"/>
    <m/>
    <m/>
    <n v="7"/>
    <n v="7"/>
    <m/>
    <m/>
    <m/>
    <m/>
    <m/>
    <m/>
    <m/>
    <n v="56"/>
    <n v="56"/>
    <s v="MMR012CMP024"/>
    <s v="Open"/>
    <n v="0.60869565217391308"/>
    <n v="0"/>
    <n v="0"/>
  </r>
  <r>
    <d v="2013-10-01T00:00:00"/>
    <x v="1"/>
    <s v="Government"/>
    <x v="0"/>
    <x v="2"/>
    <s v="Aung Taing"/>
    <n v="8"/>
    <m/>
    <m/>
    <n v="10"/>
    <n v="10"/>
    <m/>
    <m/>
    <m/>
    <m/>
    <m/>
    <m/>
    <m/>
    <n v="80"/>
    <n v="80"/>
    <s v="MMR012CMP006"/>
    <s v="Open"/>
    <n v="0.93023255813953487"/>
    <n v="0"/>
    <n v="0"/>
  </r>
  <r>
    <d v="2013-10-01T00:00:00"/>
    <x v="1"/>
    <s v="Government"/>
    <x v="0"/>
    <x v="5"/>
    <s v="Ba Wan Chaung Wa Su"/>
    <n v="10"/>
    <m/>
    <m/>
    <n v="3"/>
    <n v="3"/>
    <m/>
    <m/>
    <m/>
    <m/>
    <m/>
    <m/>
    <m/>
    <n v="30"/>
    <n v="30"/>
    <s v="MMR012CMP015"/>
    <s v="Open"/>
    <n v="1.4285714285714286"/>
    <n v="0"/>
    <n v="0"/>
  </r>
  <r>
    <d v="2013-10-01T00:00:00"/>
    <x v="1"/>
    <s v="Government"/>
    <x v="0"/>
    <x v="8"/>
    <s v="Basare"/>
    <n v="8"/>
    <m/>
    <m/>
    <n v="52"/>
    <n v="52"/>
    <m/>
    <m/>
    <m/>
    <m/>
    <m/>
    <m/>
    <m/>
    <n v="416"/>
    <n v="416"/>
    <s v="MMR012CMP039"/>
    <s v="Open"/>
    <n v="1.0478589420654911"/>
    <n v="0"/>
    <n v="0"/>
  </r>
  <r>
    <d v="2013-10-01T00:00:00"/>
    <x v="3"/>
    <s v="CARE"/>
    <x v="0"/>
    <x v="8"/>
    <s v="Baw Du Pha 1"/>
    <n v="8"/>
    <m/>
    <m/>
    <n v="50"/>
    <n v="50"/>
    <m/>
    <m/>
    <m/>
    <m/>
    <m/>
    <m/>
    <m/>
    <n v="400"/>
    <n v="400"/>
    <s v="MMR012CMP113"/>
    <s v="Open"/>
    <n v="0.4012036108324975"/>
    <n v="0"/>
    <n v="0"/>
  </r>
  <r>
    <d v="2013-10-01T00:00:00"/>
    <x v="1"/>
    <s v="Government"/>
    <x v="0"/>
    <x v="8"/>
    <s v="Baw Du Pha 1"/>
    <n v="8"/>
    <m/>
    <m/>
    <n v="40"/>
    <n v="40"/>
    <m/>
    <m/>
    <m/>
    <m/>
    <m/>
    <m/>
    <m/>
    <n v="320"/>
    <n v="320"/>
    <s v="MMR012CMP113"/>
    <s v="Open"/>
    <n v="0.32096288866599798"/>
    <n v="0"/>
    <n v="0"/>
  </r>
  <r>
    <d v="2013-10-01T00:00:00"/>
    <x v="4"/>
    <s v="ICRC"/>
    <x v="0"/>
    <x v="8"/>
    <s v="Baw Du Pha 1"/>
    <n v="8"/>
    <m/>
    <m/>
    <n v="5"/>
    <n v="5"/>
    <m/>
    <m/>
    <m/>
    <m/>
    <m/>
    <m/>
    <m/>
    <n v="40"/>
    <n v="40"/>
    <s v="MMR012CMP113"/>
    <s v="Open"/>
    <n v="4.0120361083249748E-2"/>
    <n v="0"/>
    <n v="0"/>
  </r>
  <r>
    <d v="2013-10-01T00:00:00"/>
    <x v="5"/>
    <s v="MAUK"/>
    <x v="0"/>
    <x v="8"/>
    <s v="Baw Du Pha 1"/>
    <n v="8"/>
    <m/>
    <m/>
    <n v="32"/>
    <n v="32"/>
    <n v="0"/>
    <m/>
    <m/>
    <m/>
    <m/>
    <m/>
    <m/>
    <n v="256"/>
    <n v="256"/>
    <s v="MMR012CMP113"/>
    <s v="Open"/>
    <n v="0.2567703109327984"/>
    <n v="0"/>
    <n v="0"/>
  </r>
  <r>
    <d v="2013-10-01T00:00:00"/>
    <x v="1"/>
    <s v="Government"/>
    <x v="0"/>
    <x v="8"/>
    <s v="Baw Du Pha 2"/>
    <n v="8"/>
    <m/>
    <m/>
    <n v="100"/>
    <n v="100"/>
    <n v="0"/>
    <m/>
    <m/>
    <m/>
    <m/>
    <m/>
    <m/>
    <n v="800"/>
    <n v="800"/>
    <s v="MMR012CMP114"/>
    <s v="Open"/>
    <n v="0.61680801850424061"/>
    <n v="0"/>
    <n v="0"/>
  </r>
  <r>
    <d v="2013-10-01T00:00:00"/>
    <x v="4"/>
    <s v="ICRC"/>
    <x v="0"/>
    <x v="8"/>
    <s v="Baw Du Pha 2"/>
    <n v="8"/>
    <m/>
    <m/>
    <n v="14"/>
    <n v="14"/>
    <m/>
    <m/>
    <m/>
    <m/>
    <m/>
    <m/>
    <m/>
    <n v="112"/>
    <n v="112"/>
    <s v="MMR012CMP114"/>
    <s v="Open"/>
    <n v="8.6353122590593676E-2"/>
    <n v="0"/>
    <n v="0"/>
  </r>
  <r>
    <d v="2013-10-01T00:00:00"/>
    <x v="6"/>
    <s v="WFP"/>
    <x v="0"/>
    <x v="8"/>
    <s v="Baw Du Pha 2"/>
    <n v="10"/>
    <m/>
    <m/>
    <n v="40"/>
    <n v="40"/>
    <m/>
    <m/>
    <m/>
    <m/>
    <m/>
    <m/>
    <m/>
    <n v="400"/>
    <n v="400"/>
    <s v="MMR012CMP114"/>
    <s v="Open"/>
    <n v="0.3084040092521203"/>
    <n v="0"/>
    <n v="0"/>
  </r>
  <r>
    <d v="2013-10-01T00:00:00"/>
    <x v="1"/>
    <s v="Government"/>
    <x v="0"/>
    <x v="7"/>
    <s v="Chein Khar Li"/>
    <n v="8"/>
    <m/>
    <m/>
    <n v="24"/>
    <n v="24"/>
    <m/>
    <m/>
    <m/>
    <m/>
    <m/>
    <m/>
    <m/>
    <n v="192"/>
    <n v="192"/>
    <s v="MMR012CMP033"/>
    <s v="Open"/>
    <n v="0.88479262672811065"/>
    <n v="0"/>
    <n v="0"/>
  </r>
  <r>
    <d v="2013-10-01T00:00:00"/>
    <x v="3"/>
    <s v="CARE"/>
    <x v="0"/>
    <x v="8"/>
    <s v="Dar Pai"/>
    <n v="8"/>
    <m/>
    <m/>
    <n v="41"/>
    <n v="41"/>
    <m/>
    <m/>
    <m/>
    <m/>
    <m/>
    <m/>
    <m/>
    <n v="328"/>
    <n v="328"/>
    <s v="MMR012CMP041"/>
    <s v="Open"/>
    <n v="0.23478883321403007"/>
    <n v="0"/>
    <n v="0"/>
  </r>
  <r>
    <d v="2013-10-01T00:00:00"/>
    <x v="1"/>
    <s v="Government"/>
    <x v="0"/>
    <x v="8"/>
    <s v="Dar Pai"/>
    <n v="8"/>
    <m/>
    <m/>
    <n v="141"/>
    <n v="141"/>
    <m/>
    <m/>
    <m/>
    <m/>
    <m/>
    <m/>
    <m/>
    <n v="1128"/>
    <n v="1128"/>
    <s v="MMR012CMP041"/>
    <s v="Open"/>
    <n v="0.80744452397995703"/>
    <n v="0"/>
    <n v="0"/>
  </r>
  <r>
    <d v="2013-10-01T00:00:00"/>
    <x v="1"/>
    <s v="Government"/>
    <x v="0"/>
    <x v="0"/>
    <s v="Goke Pi Htaunt"/>
    <n v="8"/>
    <m/>
    <m/>
    <n v="10"/>
    <n v="10"/>
    <m/>
    <m/>
    <m/>
    <m/>
    <m/>
    <m/>
    <m/>
    <n v="80"/>
    <n v="80"/>
    <s v="MMR012CMP027"/>
    <s v="Open"/>
    <n v="0.68965517241379315"/>
    <n v="0"/>
    <n v="0"/>
  </r>
  <r>
    <d v="2013-10-01T00:00:00"/>
    <x v="1"/>
    <s v="Government"/>
    <x v="0"/>
    <x v="0"/>
    <s v="In Bar Yi"/>
    <n v="8"/>
    <m/>
    <m/>
    <n v="29"/>
    <n v="29"/>
    <m/>
    <m/>
    <m/>
    <m/>
    <m/>
    <m/>
    <m/>
    <n v="232"/>
    <n v="232"/>
    <s v="MMR012CMP026"/>
    <s v="Open"/>
    <n v="0.98305084745762716"/>
    <n v="0"/>
    <n v="0"/>
  </r>
  <r>
    <d v="2013-10-01T00:00:00"/>
    <x v="0"/>
    <s v="UNHCR"/>
    <x v="0"/>
    <x v="4"/>
    <s v="Kan Thar Htwat Wa"/>
    <n v="8"/>
    <m/>
    <m/>
    <n v="6"/>
    <n v="6"/>
    <m/>
    <m/>
    <m/>
    <m/>
    <m/>
    <m/>
    <m/>
    <n v="48"/>
    <n v="48"/>
    <s v="MMR012CMP013"/>
    <s v="Open"/>
    <n v="1.1428571428571428"/>
    <n v="0"/>
    <n v="0"/>
  </r>
  <r>
    <d v="2013-10-01T00:00:00"/>
    <x v="7"/>
    <s v="TDC/Natala Government"/>
    <x v="0"/>
    <x v="9"/>
    <s v="Baw Di Gone"/>
    <n v="1"/>
    <m/>
    <m/>
    <m/>
    <m/>
    <m/>
    <n v="10"/>
    <n v="10"/>
    <m/>
    <m/>
    <m/>
    <m/>
    <n v="10"/>
    <n v="0"/>
    <s v="MMR012CMP079"/>
    <s v="Close"/>
    <s v=""/>
    <n v="10"/>
    <n v="10"/>
  </r>
  <r>
    <d v="2013-10-01T00:00:00"/>
    <x v="8"/>
    <s v="UNHCR/BAJ"/>
    <x v="0"/>
    <x v="9"/>
    <s v="Baw Di Gone"/>
    <n v="1"/>
    <m/>
    <m/>
    <m/>
    <m/>
    <m/>
    <n v="31"/>
    <n v="27"/>
    <m/>
    <m/>
    <m/>
    <m/>
    <n v="27"/>
    <n v="0"/>
    <s v="MMR012CMP079"/>
    <s v="Close"/>
    <s v=""/>
    <n v="31"/>
    <n v="27"/>
  </r>
  <r>
    <d v="2013-10-01T00:00:00"/>
    <x v="3"/>
    <s v="CARE"/>
    <x v="0"/>
    <x v="8"/>
    <s v="Khaung Doke Khar "/>
    <n v="8"/>
    <m/>
    <m/>
    <n v="25"/>
    <n v="25"/>
    <m/>
    <m/>
    <m/>
    <m/>
    <m/>
    <m/>
    <m/>
    <n v="200"/>
    <n v="200"/>
    <s v="MMR012CMP042"/>
    <s v="Open"/>
    <n v="0.25031289111389238"/>
    <n v="0"/>
    <n v="0"/>
  </r>
  <r>
    <d v="2013-10-01T00:00:00"/>
    <x v="1"/>
    <s v="Government"/>
    <x v="0"/>
    <x v="8"/>
    <s v="Khaung Doke Khar "/>
    <n v="8"/>
    <m/>
    <m/>
    <n v="75"/>
    <n v="75"/>
    <m/>
    <m/>
    <m/>
    <m/>
    <m/>
    <m/>
    <m/>
    <n v="600"/>
    <n v="600"/>
    <s v="MMR012CMP042"/>
    <s v="Open"/>
    <n v="0.75093867334167708"/>
    <n v="0"/>
    <n v="0"/>
  </r>
  <r>
    <d v="2013-10-01T00:00:00"/>
    <x v="1"/>
    <s v="Government"/>
    <x v="0"/>
    <x v="0"/>
    <s v="Khaung Htoke"/>
    <n v="8"/>
    <m/>
    <m/>
    <n v="10"/>
    <n v="10"/>
    <m/>
    <m/>
    <m/>
    <m/>
    <m/>
    <m/>
    <m/>
    <n v="80"/>
    <n v="80"/>
    <s v="MMR012CMP030"/>
    <s v="Open"/>
    <n v="0.82474226804123707"/>
    <n v="0"/>
    <n v="0"/>
  </r>
  <r>
    <d v="2013-10-01T00:00:00"/>
    <x v="7"/>
    <s v="TDC/Natala Government"/>
    <x v="0"/>
    <x v="9"/>
    <s v="Kan Pyin Thar Si"/>
    <n v="1"/>
    <m/>
    <m/>
    <m/>
    <m/>
    <m/>
    <n v="15"/>
    <n v="15"/>
    <m/>
    <m/>
    <m/>
    <m/>
    <n v="15"/>
    <n v="0"/>
    <s v=""/>
    <s v=""/>
    <s v=""/>
    <n v="15"/>
    <n v="15"/>
  </r>
  <r>
    <d v="2013-10-01T00:00:00"/>
    <x v="1"/>
    <s v="Government"/>
    <x v="0"/>
    <x v="7"/>
    <s v="Koe Tan Kauk"/>
    <n v="8"/>
    <m/>
    <m/>
    <n v="29"/>
    <n v="29"/>
    <m/>
    <m/>
    <m/>
    <m/>
    <m/>
    <m/>
    <m/>
    <n v="232"/>
    <n v="232"/>
    <s v="MMR012CMP110"/>
    <s v="Open"/>
    <n v="1.2020725388601037"/>
    <n v="0"/>
    <n v="0"/>
  </r>
  <r>
    <d v="2013-10-01T00:00:00"/>
    <x v="7"/>
    <s v="TDC/Natala Government"/>
    <x v="0"/>
    <x v="9"/>
    <s v="Kan Thar Yar"/>
    <n v="1"/>
    <m/>
    <m/>
    <m/>
    <m/>
    <m/>
    <n v="10"/>
    <n v="10"/>
    <m/>
    <m/>
    <m/>
    <m/>
    <n v="10"/>
    <n v="0"/>
    <s v="MMR012CMP081"/>
    <s v="Close"/>
    <s v=""/>
    <n v="10"/>
    <n v="10"/>
  </r>
  <r>
    <d v="2013-10-01T00:00:00"/>
    <x v="8"/>
    <s v="UNHCR/BAJ"/>
    <x v="0"/>
    <x v="9"/>
    <s v="Kan Thar Yar"/>
    <n v="1"/>
    <m/>
    <m/>
    <m/>
    <m/>
    <m/>
    <n v="21"/>
    <n v="21"/>
    <m/>
    <m/>
    <m/>
    <m/>
    <n v="21"/>
    <n v="0"/>
    <s v="MMR012CMP081"/>
    <s v="Close"/>
    <s v=""/>
    <n v="21"/>
    <n v="21"/>
  </r>
  <r>
    <d v="2013-10-01T00:00:00"/>
    <x v="1"/>
    <s v="Government"/>
    <x v="0"/>
    <x v="1"/>
    <s v="Kyauk Ta Lone"/>
    <n v="8"/>
    <m/>
    <m/>
    <n v="22"/>
    <n v="22"/>
    <m/>
    <m/>
    <m/>
    <m/>
    <m/>
    <m/>
    <m/>
    <n v="176"/>
    <n v="176"/>
    <s v="MMR012CMP035"/>
    <s v="Open"/>
    <n v="0.41217798594847777"/>
    <n v="0"/>
    <n v="0"/>
  </r>
  <r>
    <d v="2013-10-01T00:00:00"/>
    <x v="9"/>
    <s v="Service City"/>
    <x v="0"/>
    <x v="1"/>
    <s v="Kyauk Ta Lone"/>
    <n v="8"/>
    <m/>
    <m/>
    <n v="31"/>
    <n v="31"/>
    <m/>
    <m/>
    <m/>
    <m/>
    <m/>
    <m/>
    <m/>
    <n v="248"/>
    <n v="248"/>
    <s v="MMR012CMP035"/>
    <s v="Open"/>
    <n v="0.58079625292740045"/>
    <n v="0"/>
    <n v="0"/>
  </r>
  <r>
    <d v="2013-10-01T00:00:00"/>
    <x v="0"/>
    <s v="UNHCR"/>
    <x v="0"/>
    <x v="5"/>
    <s v="Kyein Ni Pyin"/>
    <n v="8"/>
    <m/>
    <m/>
    <n v="98"/>
    <n v="98"/>
    <m/>
    <m/>
    <m/>
    <m/>
    <m/>
    <m/>
    <m/>
    <n v="784"/>
    <n v="784"/>
    <s v="MMR012CMP018"/>
    <s v="Open"/>
    <n v="0.68055555555555558"/>
    <n v="0"/>
    <n v="0"/>
  </r>
  <r>
    <d v="2013-10-01T00:00:00"/>
    <x v="1"/>
    <s v="Government"/>
    <x v="0"/>
    <x v="0"/>
    <s v="Let Saung Kauk"/>
    <n v="8"/>
    <m/>
    <m/>
    <n v="2"/>
    <n v="2"/>
    <m/>
    <m/>
    <m/>
    <m/>
    <m/>
    <m/>
    <m/>
    <n v="16"/>
    <n v="16"/>
    <s v="MMR012CMP020"/>
    <s v="Open"/>
    <n v="0.88888888888888884"/>
    <n v="0"/>
    <n v="0"/>
  </r>
  <r>
    <d v="2013-10-01T00:00:00"/>
    <x v="1"/>
    <s v="Government"/>
    <x v="0"/>
    <x v="8"/>
    <s v="Maw Ti Ngar"/>
    <n v="8"/>
    <m/>
    <m/>
    <n v="78"/>
    <n v="78"/>
    <m/>
    <m/>
    <m/>
    <m/>
    <m/>
    <m/>
    <m/>
    <n v="624"/>
    <n v="624"/>
    <s v="MMR012CMP092"/>
    <s v="Open"/>
    <n v="1"/>
    <n v="0"/>
    <n v="0"/>
  </r>
  <r>
    <d v="2013-10-01T00:00:00"/>
    <x v="7"/>
    <s v="TDC/Natala Government"/>
    <x v="0"/>
    <x v="9"/>
    <s v="Kha Yay Myaing( DPA)"/>
    <n v="1"/>
    <m/>
    <m/>
    <m/>
    <m/>
    <m/>
    <n v="2"/>
    <n v="2"/>
    <m/>
    <m/>
    <m/>
    <m/>
    <n v="2"/>
    <n v="0"/>
    <s v=""/>
    <s v=""/>
    <s v=""/>
    <n v="2"/>
    <n v="2"/>
  </r>
  <r>
    <d v="2013-10-01T00:00:00"/>
    <x v="7"/>
    <s v="TDC/Natala Government"/>
    <x v="0"/>
    <x v="9"/>
    <s v="Kha Yay Myaing(short legged)"/>
    <n v="1"/>
    <m/>
    <m/>
    <m/>
    <m/>
    <m/>
    <n v="22"/>
    <n v="22"/>
    <m/>
    <m/>
    <m/>
    <m/>
    <n v="22"/>
    <n v="0"/>
    <s v=""/>
    <s v=""/>
    <s v=""/>
    <n v="22"/>
    <n v="22"/>
  </r>
  <r>
    <d v="2013-10-01T00:00:00"/>
    <x v="0"/>
    <s v="UNHCR"/>
    <x v="0"/>
    <x v="5"/>
    <s v="Nget Chaung"/>
    <n v="8"/>
    <m/>
    <m/>
    <n v="169"/>
    <n v="169"/>
    <m/>
    <m/>
    <m/>
    <m/>
    <m/>
    <m/>
    <m/>
    <n v="1352"/>
    <n v="1352"/>
    <s v="MMR012CMP017"/>
    <s v="Open"/>
    <n v="0.8650031989763276"/>
    <n v="0"/>
    <n v="0"/>
  </r>
  <r>
    <d v="2013-10-01T00:00:00"/>
    <x v="1"/>
    <s v="Government"/>
    <x v="0"/>
    <x v="0"/>
    <s v="Nidin"/>
    <n v="8"/>
    <m/>
    <m/>
    <n v="9"/>
    <n v="9"/>
    <m/>
    <m/>
    <m/>
    <m/>
    <m/>
    <m/>
    <m/>
    <n v="72"/>
    <n v="72"/>
    <s v="MMR012CMP023"/>
    <s v="Open"/>
    <n v="0.84705882352941175"/>
    <n v="0"/>
    <n v="0"/>
  </r>
  <r>
    <d v="2013-10-01T00:00:00"/>
    <x v="1"/>
    <s v="Government"/>
    <x v="0"/>
    <x v="7"/>
    <s v="Nyaung Pin Gyi"/>
    <n v="8"/>
    <m/>
    <m/>
    <n v="7"/>
    <n v="7"/>
    <m/>
    <m/>
    <m/>
    <m/>
    <m/>
    <m/>
    <m/>
    <n v="56"/>
    <n v="56"/>
    <s v="MMR012CMP031"/>
    <s v="Open"/>
    <n v="1.037037037037037"/>
    <n v="0"/>
    <n v="0"/>
  </r>
  <r>
    <d v="2013-10-01T00:00:00"/>
    <x v="0"/>
    <s v="UNHCR"/>
    <x v="0"/>
    <x v="8"/>
    <s v="Ohn Taw Chay"/>
    <n v="8"/>
    <m/>
    <m/>
    <n v="80"/>
    <n v="80"/>
    <m/>
    <m/>
    <m/>
    <m/>
    <m/>
    <m/>
    <m/>
    <n v="640"/>
    <n v="640"/>
    <s v="MMR012CMP098"/>
    <s v="Open"/>
    <n v="0.98613251155624038"/>
    <n v="0"/>
    <n v="0"/>
  </r>
  <r>
    <d v="2013-10-01T00:00:00"/>
    <x v="3"/>
    <s v="CARE"/>
    <x v="0"/>
    <x v="8"/>
    <s v="Ohn Taw Gyi (North)"/>
    <n v="8"/>
    <m/>
    <m/>
    <n v="45"/>
    <n v="45"/>
    <m/>
    <m/>
    <m/>
    <m/>
    <m/>
    <m/>
    <m/>
    <n v="360"/>
    <n v="360"/>
    <s v="MMR012CMP115"/>
    <s v="Open"/>
    <n v="0.13693419551160138"/>
    <n v="0"/>
    <n v="0"/>
  </r>
  <r>
    <d v="2013-10-01T00:00:00"/>
    <x v="1"/>
    <s v="Government"/>
    <x v="0"/>
    <x v="8"/>
    <s v="Ohn Taw Gyi (North)"/>
    <n v="8"/>
    <m/>
    <m/>
    <n v="60"/>
    <n v="60"/>
    <m/>
    <m/>
    <m/>
    <m/>
    <m/>
    <m/>
    <m/>
    <n v="480"/>
    <n v="480"/>
    <s v="MMR012CMP115"/>
    <s v="Open"/>
    <n v="0.18257892734880182"/>
    <n v="0"/>
    <n v="0"/>
  </r>
  <r>
    <d v="2013-10-01T00:00:00"/>
    <x v="10"/>
    <s v="MRF"/>
    <x v="0"/>
    <x v="8"/>
    <s v="Ohn Taw Gyi (North)"/>
    <n v="8"/>
    <m/>
    <m/>
    <n v="115"/>
    <n v="115"/>
    <m/>
    <m/>
    <m/>
    <m/>
    <m/>
    <m/>
    <m/>
    <n v="920"/>
    <n v="920"/>
    <s v="MMR012CMP115"/>
    <s v="Open"/>
    <n v="0.34994294408520349"/>
    <n v="0"/>
    <n v="0"/>
  </r>
  <r>
    <d v="2013-10-01T00:00:00"/>
    <x v="0"/>
    <s v="UNHCR"/>
    <x v="0"/>
    <x v="8"/>
    <s v="Ohn Taw Gyi (North)"/>
    <n v="8"/>
    <m/>
    <m/>
    <n v="115"/>
    <n v="115"/>
    <m/>
    <m/>
    <m/>
    <m/>
    <m/>
    <m/>
    <m/>
    <n v="920"/>
    <n v="920"/>
    <s v="MMR012CMP115"/>
    <s v="Open"/>
    <n v="0.34994294408520349"/>
    <n v="0"/>
    <n v="0"/>
  </r>
  <r>
    <d v="2013-10-01T00:00:00"/>
    <x v="1"/>
    <s v="Government"/>
    <x v="0"/>
    <x v="8"/>
    <s v="Ohn Taw Gyi (South)"/>
    <n v="8"/>
    <m/>
    <m/>
    <n v="221"/>
    <n v="221"/>
    <m/>
    <m/>
    <m/>
    <m/>
    <m/>
    <m/>
    <m/>
    <n v="1768"/>
    <n v="1768"/>
    <s v="MMR012CMP116"/>
    <s v="Open"/>
    <n v="0.78823004904146232"/>
    <n v="0"/>
    <n v="0"/>
  </r>
  <r>
    <d v="2013-10-01T00:00:00"/>
    <x v="1"/>
    <s v="Government"/>
    <x v="0"/>
    <x v="8"/>
    <s v="Ohn Taw Gyi (South)"/>
    <n v="10"/>
    <m/>
    <m/>
    <n v="20"/>
    <n v="20"/>
    <m/>
    <m/>
    <m/>
    <m/>
    <m/>
    <m/>
    <m/>
    <n v="200"/>
    <n v="200"/>
    <s v="MMR012CMP116"/>
    <s v="Open"/>
    <n v="8.9166295140436919E-2"/>
    <n v="0"/>
    <n v="0"/>
  </r>
  <r>
    <d v="2013-10-01T00:00:00"/>
    <x v="0"/>
    <s v="UNHCR"/>
    <x v="0"/>
    <x v="8"/>
    <s v="Ohn Taw Gyi (South)"/>
    <n v="8"/>
    <m/>
    <m/>
    <n v="35"/>
    <n v="35"/>
    <m/>
    <m/>
    <m/>
    <m/>
    <m/>
    <m/>
    <m/>
    <n v="280"/>
    <n v="280"/>
    <s v="MMR012CMP116"/>
    <s v="Open"/>
    <n v="0.12483281319661169"/>
    <n v="0"/>
    <n v="0"/>
  </r>
  <r>
    <d v="2013-10-01T00:00:00"/>
    <x v="1"/>
    <s v="Government"/>
    <x v="0"/>
    <x v="3"/>
    <s v="Pa Rein"/>
    <n v="8"/>
    <m/>
    <m/>
    <n v="26"/>
    <n v="26"/>
    <m/>
    <m/>
    <m/>
    <m/>
    <m/>
    <m/>
    <m/>
    <n v="208"/>
    <n v="208"/>
    <s v="MMR012CMP009"/>
    <s v="Open"/>
    <n v="1.0196078431372548"/>
    <n v="0"/>
    <n v="0"/>
  </r>
  <r>
    <d v="2013-10-01T00:00:00"/>
    <x v="1"/>
    <s v="Government"/>
    <x v="0"/>
    <x v="2"/>
    <s v="Paik Thay"/>
    <n v="8"/>
    <m/>
    <m/>
    <n v="2"/>
    <n v="2"/>
    <m/>
    <m/>
    <m/>
    <m/>
    <m/>
    <m/>
    <m/>
    <n v="16"/>
    <n v="16"/>
    <s v="MMR012CMP001"/>
    <s v="Open"/>
    <n v="0.84210526315789469"/>
    <n v="0"/>
    <n v="0"/>
  </r>
  <r>
    <d v="2013-10-01T00:00:00"/>
    <x v="9"/>
    <s v="Service City"/>
    <x v="0"/>
    <x v="1"/>
    <s v="Ka Nyin Taw"/>
    <n v="8"/>
    <m/>
    <m/>
    <n v="7"/>
    <n v="7"/>
    <m/>
    <m/>
    <m/>
    <m/>
    <m/>
    <m/>
    <m/>
    <n v="56"/>
    <n v="56"/>
    <s v="MMR012CMP036"/>
    <s v="Open"/>
    <n v="0.86153846153846159"/>
    <n v="0"/>
    <n v="0"/>
  </r>
  <r>
    <d v="2013-10-01T00:00:00"/>
    <x v="1"/>
    <s v="Government"/>
    <x v="0"/>
    <x v="6"/>
    <s v="Ramree Ward 6"/>
    <n v="8"/>
    <m/>
    <m/>
    <n v="12"/>
    <n v="12"/>
    <m/>
    <m/>
    <m/>
    <m/>
    <m/>
    <m/>
    <m/>
    <n v="96"/>
    <n v="96"/>
    <s v="MMR012CMP037"/>
    <s v="Open"/>
    <n v="1.6"/>
    <n v="0"/>
    <n v="0"/>
  </r>
  <r>
    <d v="2013-10-01T00:00:00"/>
    <x v="1"/>
    <s v="Government"/>
    <x v="0"/>
    <x v="2"/>
    <s v="Sam Ba Le"/>
    <n v="8"/>
    <m/>
    <m/>
    <n v="28"/>
    <n v="28"/>
    <m/>
    <m/>
    <m/>
    <m/>
    <m/>
    <m/>
    <m/>
    <n v="224"/>
    <n v="224"/>
    <s v="MMR012CMP008"/>
    <s v="Open"/>
    <n v="0.99555555555555553"/>
    <n v="0"/>
    <n v="0"/>
  </r>
  <r>
    <d v="2013-10-01T00:00:00"/>
    <x v="1"/>
    <s v="Government"/>
    <x v="0"/>
    <x v="2"/>
    <s v="San Htoe Tan"/>
    <n v="8"/>
    <m/>
    <m/>
    <n v="10"/>
    <n v="10"/>
    <m/>
    <m/>
    <m/>
    <m/>
    <m/>
    <m/>
    <m/>
    <n v="80"/>
    <n v="80"/>
    <s v="MMR012CMP003"/>
    <s v="Open"/>
    <n v="0.93023255813953487"/>
    <n v="0"/>
    <n v="0"/>
  </r>
  <r>
    <d v="2013-10-01T00:00:00"/>
    <x v="8"/>
    <s v="UNHCR/BAJ"/>
    <x v="0"/>
    <x v="9"/>
    <s v="Kha Yay Myaing(short legged)"/>
    <n v="1"/>
    <m/>
    <m/>
    <m/>
    <m/>
    <m/>
    <n v="25"/>
    <n v="25"/>
    <m/>
    <m/>
    <m/>
    <m/>
    <n v="25"/>
    <n v="0"/>
    <s v=""/>
    <s v=""/>
    <s v=""/>
    <n v="25"/>
    <n v="25"/>
  </r>
  <r>
    <d v="2013-10-01T00:00:00"/>
    <x v="3"/>
    <s v="CARE"/>
    <x v="0"/>
    <x v="9"/>
    <s v="Kin Chaung"/>
    <n v="1"/>
    <m/>
    <m/>
    <m/>
    <m/>
    <m/>
    <n v="25"/>
    <n v="25"/>
    <m/>
    <m/>
    <m/>
    <m/>
    <n v="25"/>
    <n v="0"/>
    <s v="MMR012CMP080"/>
    <s v="Close"/>
    <s v=""/>
    <n v="25"/>
    <n v="25"/>
  </r>
  <r>
    <d v="2013-10-01T00:00:00"/>
    <x v="2"/>
    <s v="DRC"/>
    <x v="0"/>
    <x v="8"/>
    <s v="Say Tha Mar Gyi"/>
    <n v="8"/>
    <m/>
    <m/>
    <n v="27"/>
    <n v="27"/>
    <m/>
    <m/>
    <m/>
    <m/>
    <m/>
    <m/>
    <m/>
    <n v="216"/>
    <n v="216"/>
    <s v="MMR012CMP045"/>
    <s v="Open"/>
    <n v="8.8669950738916259E-2"/>
    <n v="0"/>
    <n v="0"/>
  </r>
  <r>
    <d v="2013-10-01T00:00:00"/>
    <x v="1"/>
    <s v="Government"/>
    <x v="0"/>
    <x v="8"/>
    <s v="Say Tha Mar Gyi"/>
    <n v="10"/>
    <m/>
    <m/>
    <n v="63"/>
    <n v="63"/>
    <m/>
    <m/>
    <m/>
    <m/>
    <m/>
    <m/>
    <m/>
    <n v="630"/>
    <n v="630"/>
    <s v="MMR012CMP045"/>
    <s v="Open"/>
    <n v="0.25862068965517243"/>
    <n v="0"/>
    <n v="0"/>
  </r>
  <r>
    <d v="2013-10-01T00:00:00"/>
    <x v="11"/>
    <s v="IRW"/>
    <x v="0"/>
    <x v="8"/>
    <s v="Say Tha Mar Gyi"/>
    <n v="8"/>
    <m/>
    <m/>
    <n v="40"/>
    <n v="40"/>
    <m/>
    <m/>
    <m/>
    <m/>
    <m/>
    <m/>
    <m/>
    <n v="320"/>
    <n v="320"/>
    <s v="MMR012CMP045"/>
    <s v="Open"/>
    <n v="0.13136288998357964"/>
    <n v="0"/>
    <n v="0"/>
  </r>
  <r>
    <d v="2013-10-01T00:00:00"/>
    <x v="12"/>
    <s v="MRCS"/>
    <x v="0"/>
    <x v="8"/>
    <s v="Say Tha Mar Gyi"/>
    <n v="8"/>
    <m/>
    <m/>
    <n v="60"/>
    <n v="60"/>
    <m/>
    <m/>
    <m/>
    <m/>
    <m/>
    <m/>
    <m/>
    <n v="480"/>
    <n v="480"/>
    <s v="MMR012CMP045"/>
    <s v="Open"/>
    <n v="0.19704433497536947"/>
    <n v="0"/>
    <n v="0"/>
  </r>
  <r>
    <d v="2013-10-01T00:00:00"/>
    <x v="10"/>
    <s v="MRF"/>
    <x v="0"/>
    <x v="8"/>
    <s v="Say Tha Mar Gyi"/>
    <n v="10"/>
    <m/>
    <m/>
    <n v="77"/>
    <n v="77"/>
    <m/>
    <m/>
    <m/>
    <m/>
    <m/>
    <m/>
    <m/>
    <n v="770"/>
    <n v="770"/>
    <s v="MMR012CMP045"/>
    <s v="Open"/>
    <n v="0.31609195402298851"/>
    <n v="0"/>
    <n v="0"/>
  </r>
  <r>
    <d v="2013-10-01T00:00:00"/>
    <x v="0"/>
    <s v="UNHCR"/>
    <x v="0"/>
    <x v="8"/>
    <s v="Say Tha Mar Gyi"/>
    <n v="8"/>
    <m/>
    <m/>
    <n v="33"/>
    <n v="33"/>
    <m/>
    <m/>
    <m/>
    <m/>
    <m/>
    <m/>
    <m/>
    <n v="264"/>
    <n v="264"/>
    <s v="MMR012CMP045"/>
    <s v="Open"/>
    <n v="0.10837438423645321"/>
    <n v="0"/>
    <n v="0"/>
  </r>
  <r>
    <d v="2013-10-01T00:00:00"/>
    <x v="1"/>
    <s v="Government"/>
    <x v="0"/>
    <x v="8"/>
    <s v="Set Yone Su"/>
    <n v="10"/>
    <m/>
    <m/>
    <n v="22"/>
    <n v="22"/>
    <m/>
    <m/>
    <m/>
    <m/>
    <m/>
    <m/>
    <m/>
    <n v="220"/>
    <n v="220"/>
    <s v="MMR012CMP056"/>
    <s v="Open"/>
    <n v="3.0555555555555554"/>
    <n v="0"/>
    <n v="0"/>
  </r>
  <r>
    <d v="2013-10-01T00:00:00"/>
    <x v="0"/>
    <s v="UNHCR"/>
    <x v="0"/>
    <x v="8"/>
    <s v="Set Yone Su 3"/>
    <n v="8"/>
    <m/>
    <m/>
    <n v="22"/>
    <n v="22"/>
    <m/>
    <m/>
    <m/>
    <m/>
    <m/>
    <m/>
    <m/>
    <n v="176"/>
    <n v="176"/>
    <s v="MMR012CMP093"/>
    <s v="Open"/>
    <n v="1.1655629139072847"/>
    <n v="0"/>
    <n v="0"/>
  </r>
  <r>
    <d v="2013-10-01T00:00:00"/>
    <x v="1"/>
    <s v="Government"/>
    <x v="0"/>
    <x v="0"/>
    <s v="Shwe Hlaing"/>
    <n v="8"/>
    <m/>
    <m/>
    <n v="18"/>
    <n v="18"/>
    <m/>
    <m/>
    <m/>
    <m/>
    <m/>
    <m/>
    <m/>
    <n v="144"/>
    <n v="144"/>
    <s v="MMR012CMP029"/>
    <s v="Open"/>
    <n v="1"/>
    <n v="0"/>
    <n v="0"/>
  </r>
  <r>
    <d v="2013-10-01T00:00:00"/>
    <x v="7"/>
    <s v="TDC/Natala Government"/>
    <x v="0"/>
    <x v="9"/>
    <s v="Kyaing Gyi"/>
    <n v="1"/>
    <m/>
    <m/>
    <m/>
    <m/>
    <m/>
    <n v="36"/>
    <n v="36"/>
    <m/>
    <m/>
    <m/>
    <m/>
    <n v="36"/>
    <n v="0"/>
    <s v="MMR012CMP078"/>
    <s v="Close"/>
    <s v=""/>
    <n v="36"/>
    <n v="36"/>
  </r>
  <r>
    <d v="2013-10-01T00:00:00"/>
    <x v="2"/>
    <s v="DRC"/>
    <x v="0"/>
    <x v="5"/>
    <s v="Sin Tet Maw"/>
    <n v="8"/>
    <m/>
    <m/>
    <n v="106"/>
    <n v="106"/>
    <m/>
    <m/>
    <m/>
    <m/>
    <m/>
    <m/>
    <m/>
    <n v="848"/>
    <n v="848"/>
    <s v="MMR012CMP019"/>
    <s v="Open"/>
    <n v="1.0680100755667505"/>
    <n v="0"/>
    <n v="0"/>
  </r>
  <r>
    <d v="2013-10-01T00:00:00"/>
    <x v="1"/>
    <s v="Government"/>
    <x v="0"/>
    <x v="0"/>
    <s v="Taung Bwe"/>
    <n v="8"/>
    <m/>
    <m/>
    <n v="8"/>
    <n v="8"/>
    <m/>
    <m/>
    <m/>
    <m/>
    <m/>
    <m/>
    <m/>
    <n v="64"/>
    <n v="64"/>
    <s v="MMR012CMP021"/>
    <s v="Open"/>
    <n v="1.0158730158730158"/>
    <n v="0"/>
    <n v="0"/>
  </r>
  <r>
    <d v="2013-10-01T00:00:00"/>
    <x v="0"/>
    <s v="UNHCR"/>
    <x v="0"/>
    <x v="4"/>
    <s v="Taung Paw "/>
    <n v="8"/>
    <m/>
    <m/>
    <n v="89"/>
    <n v="89"/>
    <m/>
    <m/>
    <m/>
    <m/>
    <m/>
    <m/>
    <m/>
    <n v="712"/>
    <n v="712"/>
    <s v="MMR012CMP014"/>
    <s v="Open"/>
    <n v="1.0439882697947214"/>
    <n v="0"/>
    <n v="0"/>
  </r>
  <r>
    <d v="2013-10-01T00:00:00"/>
    <x v="1"/>
    <s v="Government"/>
    <x v="0"/>
    <x v="2"/>
    <s v="Tha Dar"/>
    <n v="8"/>
    <m/>
    <m/>
    <n v="14"/>
    <n v="14"/>
    <m/>
    <m/>
    <m/>
    <m/>
    <m/>
    <m/>
    <m/>
    <n v="112"/>
    <n v="112"/>
    <s v="MMR012CMP002"/>
    <s v="Open"/>
    <n v="0.55172413793103448"/>
    <n v="0"/>
    <n v="0"/>
  </r>
  <r>
    <d v="2013-10-01T00:00:00"/>
    <x v="8"/>
    <s v="UNHCR/BAJ"/>
    <x v="0"/>
    <x v="9"/>
    <s v="Kyaing Gyi"/>
    <n v="1"/>
    <m/>
    <m/>
    <m/>
    <m/>
    <m/>
    <n v="36"/>
    <n v="36"/>
    <m/>
    <m/>
    <m/>
    <m/>
    <n v="36"/>
    <n v="0"/>
    <s v="MMR012CMP078"/>
    <s v="Close"/>
    <s v=""/>
    <n v="36"/>
    <n v="36"/>
  </r>
  <r>
    <d v="2013-10-01T00:00:00"/>
    <x v="7"/>
    <s v="TDC/Natala Government"/>
    <x v="0"/>
    <x v="9"/>
    <s v="Maw Ya Waddy"/>
    <n v="1"/>
    <m/>
    <m/>
    <m/>
    <m/>
    <m/>
    <n v="11"/>
    <n v="11"/>
    <m/>
    <m/>
    <m/>
    <m/>
    <n v="11"/>
    <n v="0"/>
    <s v="MMR012CMP076"/>
    <s v="Close"/>
    <s v=""/>
    <n v="11"/>
    <n v="11"/>
  </r>
  <r>
    <d v="2013-10-01T00:00:00"/>
    <x v="1"/>
    <s v="Government"/>
    <x v="0"/>
    <x v="2"/>
    <s v="Tha Yet Oak"/>
    <n v="8"/>
    <m/>
    <m/>
    <n v="20"/>
    <n v="20"/>
    <m/>
    <m/>
    <m/>
    <m/>
    <m/>
    <m/>
    <m/>
    <n v="160"/>
    <n v="160"/>
    <s v="MMR012CMP005"/>
    <s v="Open"/>
    <n v="0.58181818181818179"/>
    <n v="0"/>
    <n v="0"/>
  </r>
  <r>
    <d v="2013-10-01T00:00:00"/>
    <x v="3"/>
    <s v="CARE"/>
    <x v="0"/>
    <x v="8"/>
    <s v="Thet Kae Pyin "/>
    <n v="8"/>
    <m/>
    <m/>
    <n v="63"/>
    <n v="63"/>
    <n v="0"/>
    <m/>
    <m/>
    <m/>
    <m/>
    <m/>
    <m/>
    <n v="504"/>
    <n v="504"/>
    <s v="MMR012CMP048"/>
    <s v="Open"/>
    <n v="0.51219512195121952"/>
    <n v="0"/>
    <n v="0"/>
  </r>
  <r>
    <d v="2013-10-01T00:00:00"/>
    <x v="1"/>
    <s v="Government"/>
    <x v="0"/>
    <x v="8"/>
    <s v="Thet Kae Pyin "/>
    <n v="8"/>
    <m/>
    <m/>
    <n v="60"/>
    <n v="60"/>
    <m/>
    <m/>
    <m/>
    <m/>
    <m/>
    <m/>
    <m/>
    <n v="480"/>
    <n v="480"/>
    <s v="MMR012CMP048"/>
    <s v="Open"/>
    <n v="0.48780487804878048"/>
    <n v="0"/>
    <n v="0"/>
  </r>
  <r>
    <d v="2013-10-01T00:00:00"/>
    <x v="8"/>
    <s v="UNHCR/BAJ"/>
    <x v="0"/>
    <x v="9"/>
    <s v="Maw Ya Waddy"/>
    <n v="1"/>
    <m/>
    <m/>
    <m/>
    <m/>
    <m/>
    <n v="98"/>
    <n v="102"/>
    <m/>
    <m/>
    <m/>
    <m/>
    <n v="102"/>
    <n v="0"/>
    <s v="MMR012CMP076"/>
    <s v="Close"/>
    <s v=""/>
    <n v="98"/>
    <n v="102"/>
  </r>
  <r>
    <d v="2013-10-01T00:00:00"/>
    <x v="1"/>
    <s v="Government"/>
    <x v="0"/>
    <x v="3"/>
    <s v="Yai Thei-Muslim"/>
    <n v="8"/>
    <m/>
    <m/>
    <n v="46"/>
    <n v="46"/>
    <m/>
    <m/>
    <m/>
    <m/>
    <m/>
    <m/>
    <m/>
    <n v="368"/>
    <n v="368"/>
    <s v="MMR012CMP010"/>
    <s v="Open"/>
    <n v="1.0082191780821919"/>
    <n v="0"/>
    <n v="0"/>
  </r>
  <r>
    <d v="2013-10-01T00:00:00"/>
    <x v="1"/>
    <s v="Government"/>
    <x v="0"/>
    <x v="0"/>
    <s v="Yun Nyar"/>
    <n v="8"/>
    <m/>
    <m/>
    <n v="14"/>
    <n v="14"/>
    <m/>
    <m/>
    <m/>
    <m/>
    <m/>
    <m/>
    <m/>
    <n v="112"/>
    <n v="112"/>
    <s v="MMR012CMP028"/>
    <s v="Open"/>
    <n v="1"/>
    <n v="0"/>
    <n v="0"/>
  </r>
  <r>
    <d v="2013-10-01T00:00:00"/>
    <x v="7"/>
    <s v="TDC/Natala Government"/>
    <x v="0"/>
    <x v="9"/>
    <s v="Shwe Yin Aye"/>
    <n v="1"/>
    <m/>
    <m/>
    <m/>
    <m/>
    <m/>
    <n v="77"/>
    <n v="77"/>
    <m/>
    <m/>
    <m/>
    <m/>
    <n v="77"/>
    <n v="0"/>
    <s v=""/>
    <s v=""/>
    <s v=""/>
    <n v="77"/>
    <n v="77"/>
  </r>
  <r>
    <d v="2013-10-01T00:00:00"/>
    <x v="7"/>
    <s v="TDC/Natala Government"/>
    <x v="0"/>
    <x v="9"/>
    <s v="Tha Yay Kone Baung"/>
    <n v="1"/>
    <m/>
    <m/>
    <m/>
    <m/>
    <m/>
    <n v="12"/>
    <n v="12"/>
    <m/>
    <m/>
    <m/>
    <m/>
    <n v="12"/>
    <n v="0"/>
    <s v="MMR012CMP077"/>
    <s v="Close"/>
    <s v=""/>
    <n v="12"/>
    <n v="12"/>
  </r>
  <r>
    <d v="2013-10-01T00:00:00"/>
    <x v="3"/>
    <s v="CARE"/>
    <x v="0"/>
    <x v="9"/>
    <s v="Tha Yay Kone Baung"/>
    <n v="1"/>
    <m/>
    <m/>
    <m/>
    <m/>
    <m/>
    <n v="103"/>
    <n v="103"/>
    <m/>
    <m/>
    <m/>
    <m/>
    <n v="103"/>
    <n v="0"/>
    <s v="MMR012CMP077"/>
    <s v="Close"/>
    <s v=""/>
    <n v="103"/>
    <n v="103"/>
  </r>
  <r>
    <d v="2013-10-01T00:00:00"/>
    <x v="7"/>
    <s v="TDC/Natala Government"/>
    <x v="0"/>
    <x v="9"/>
    <s v="Wai Thar Li"/>
    <n v="1"/>
    <m/>
    <m/>
    <m/>
    <m/>
    <m/>
    <n v="9"/>
    <n v="9"/>
    <m/>
    <m/>
    <m/>
    <m/>
    <n v="9"/>
    <n v="0"/>
    <s v=""/>
    <s v=""/>
    <s v=""/>
    <n v="9"/>
    <n v="9"/>
  </r>
  <r>
    <d v="2013-10-01T00:00:00"/>
    <x v="8"/>
    <s v="UNHCR/BAJ"/>
    <x v="0"/>
    <x v="9"/>
    <m/>
    <n v="1"/>
    <m/>
    <m/>
    <m/>
    <m/>
    <m/>
    <n v="11"/>
    <n v="11"/>
    <m/>
    <m/>
    <m/>
    <m/>
    <n v="11"/>
    <n v="0"/>
    <s v=""/>
    <s v=""/>
    <s v=""/>
    <n v="11"/>
    <n v="11"/>
  </r>
  <r>
    <d v="2013-10-01T00:00:00"/>
    <x v="1"/>
    <s v="Government"/>
    <x v="0"/>
    <x v="5"/>
    <s v="Ba Wan Chaung Wa Su"/>
    <n v="1"/>
    <m/>
    <m/>
    <m/>
    <m/>
    <m/>
    <n v="21"/>
    <n v="21"/>
    <m/>
    <m/>
    <m/>
    <m/>
    <n v="21"/>
    <n v="21"/>
    <s v="MMR012CMP015"/>
    <s v="Open"/>
    <n v="1"/>
    <n v="21"/>
    <n v="21"/>
  </r>
  <r>
    <d v="2013-10-01T00:00:00"/>
    <x v="1"/>
    <s v="Government"/>
    <x v="0"/>
    <x v="8"/>
    <s v="Sat Roe Kya 1"/>
    <n v="1"/>
    <m/>
    <m/>
    <m/>
    <m/>
    <m/>
    <n v="250"/>
    <n v="250"/>
    <m/>
    <m/>
    <m/>
    <m/>
    <n v="250"/>
    <n v="250"/>
    <s v="MMR012CMP111"/>
    <s v="Open"/>
    <n v="1.0040160642570282"/>
    <n v="250"/>
    <n v="250"/>
  </r>
  <r>
    <d v="2013-10-01T00:00:00"/>
    <x v="1"/>
    <s v="Government"/>
    <x v="0"/>
    <x v="8"/>
    <s v="Sat Roe Kya 2"/>
    <n v="1"/>
    <m/>
    <m/>
    <m/>
    <m/>
    <m/>
    <n v="419"/>
    <n v="419"/>
    <m/>
    <m/>
    <m/>
    <m/>
    <n v="419"/>
    <n v="419"/>
    <s v="MMR012CMP112"/>
    <s v="Open"/>
    <n v="1.0023923444976077"/>
    <n v="419"/>
    <n v="419"/>
  </r>
  <r>
    <d v="2013-10-01T00:00:00"/>
    <x v="10"/>
    <s v="MRF"/>
    <x v="0"/>
    <x v="8"/>
    <s v="Ohn Taw Gyi (South)"/>
    <n v="8"/>
    <m/>
    <m/>
    <n v="9"/>
    <n v="9"/>
    <m/>
    <m/>
    <m/>
    <m/>
    <m/>
    <m/>
    <m/>
    <n v="72"/>
    <n v="72"/>
    <s v="MMR012CMP116"/>
    <s v="Open"/>
    <n v="3.2099866250557288E-2"/>
    <n v="0"/>
    <n v="0"/>
  </r>
  <r>
    <d v="2013-08-23T00:00:00"/>
    <x v="1"/>
    <s v="Government"/>
    <x v="0"/>
    <x v="5"/>
    <s v="Kyein Ni Pyin"/>
    <n v="8"/>
    <m/>
    <m/>
    <n v="9"/>
    <n v="9"/>
    <m/>
    <m/>
    <m/>
    <m/>
    <m/>
    <m/>
    <m/>
    <n v="72"/>
    <n v="72"/>
    <s v="MMR012CMP018"/>
    <s v="Open"/>
    <n v="6.25E-2"/>
    <n v="0"/>
    <n v="0"/>
  </r>
</pivotCacheRecords>
</file>

<file path=xl/pivotCache/pivotCacheRecords7.xml><?xml version="1.0" encoding="utf-8"?>
<pivotCacheRecords xmlns="http://schemas.openxmlformats.org/spreadsheetml/2006/main" xmlns:r="http://schemas.openxmlformats.org/officeDocument/2006/relationships" count="117">
  <r>
    <x v="0"/>
    <x v="0"/>
    <s v="MMR012"/>
    <s v="Kyaukpyu"/>
    <s v="MMR012D003"/>
    <x v="0"/>
    <s v="MMR012011"/>
    <s v="Taung Yin"/>
    <s v="MMR012011002"/>
    <s v="Ka Nyin Taw"/>
    <n v="198469"/>
    <x v="0"/>
    <x v="0"/>
    <n v="93.552452000000002"/>
    <n v="19.421102000000001"/>
    <m/>
    <n v="65"/>
    <n v="327"/>
    <n v="5.0307692307692307"/>
    <s v="Accessible by All"/>
    <s v="IDP"/>
    <x v="0"/>
    <m/>
    <m/>
    <x v="0"/>
    <s v="Buddhist"/>
    <x v="0"/>
    <x v="0"/>
    <x v="0"/>
    <s v="Camp/Community Leader"/>
    <s v="Estimate"/>
    <d v="2015-04-03T00:00:00"/>
    <s v="This camp was situated on the  field in  front big pagoda so called Paya Gyi Kwin but the camp is actually situated near  Ka Nyien Taw village. So the  former name of the camp was” Paya Gyi Kwin” and later it was named as “ Ka Nyein Taw” because it was situated near “Ka Nyin Taw” village."/>
    <x v="0"/>
    <n v="0.86153846153846159"/>
  </r>
  <r>
    <x v="1"/>
    <x v="0"/>
    <s v="MMR012"/>
    <s v="Sittwe"/>
    <s v="MMR012D001"/>
    <x v="1"/>
    <s v="MMR012001"/>
    <s v="Ywar Gyi (North) Ward"/>
    <s v="MMR012001701"/>
    <m/>
    <s v="MMR012001701515"/>
    <x v="1"/>
    <x v="1"/>
    <n v="92.895899999999997"/>
    <n v="20.1538"/>
    <m/>
    <m/>
    <m/>
    <n v="0"/>
    <s v="Accessible by All"/>
    <s v="IDP"/>
    <x v="1"/>
    <m/>
    <m/>
    <x v="1"/>
    <m/>
    <x v="1"/>
    <x v="1"/>
    <x v="1"/>
    <s v="Camp/Community Leader"/>
    <s v="Estimate"/>
    <d v="2013-09-03T00:00:00"/>
    <m/>
    <x v="1"/>
    <n v="0"/>
  </r>
  <r>
    <x v="1"/>
    <x v="0"/>
    <s v="MMR012"/>
    <s v="Sittwe"/>
    <s v="MMR012D001"/>
    <x v="1"/>
    <s v="MMR012001"/>
    <s v="Kyaung Tet Lan Ward"/>
    <s v="MMR012001701"/>
    <m/>
    <s v="MMR012001701519"/>
    <x v="2"/>
    <x v="2"/>
    <n v="92.894568000000007"/>
    <n v="20.145585000000001"/>
    <m/>
    <m/>
    <m/>
    <n v="0"/>
    <s v="Accessible by All"/>
    <s v="IDP"/>
    <x v="1"/>
    <m/>
    <m/>
    <x v="1"/>
    <m/>
    <x v="1"/>
    <x v="1"/>
    <x v="1"/>
    <s v="Camp/Community Leader"/>
    <s v="Estimate"/>
    <d v="2013-09-03T00:00:00"/>
    <m/>
    <x v="1"/>
    <n v="0"/>
  </r>
  <r>
    <x v="1"/>
    <x v="0"/>
    <s v="MMR012"/>
    <s v="Sittwe"/>
    <s v="MMR012D001"/>
    <x v="1"/>
    <s v="MMR012001"/>
    <s v="Bauk Thee Su Ward"/>
    <s v="MMR012001701"/>
    <m/>
    <s v="MMR012001701518"/>
    <x v="3"/>
    <x v="3"/>
    <n v="92.898398"/>
    <n v="20.152559"/>
    <m/>
    <m/>
    <m/>
    <n v="0"/>
    <s v="Accessible by All"/>
    <s v="IDP"/>
    <x v="1"/>
    <m/>
    <m/>
    <x v="1"/>
    <m/>
    <x v="1"/>
    <x v="1"/>
    <x v="1"/>
    <s v="Camp/Community Leader"/>
    <s v="Estimate"/>
    <d v="2013-09-03T00:00:00"/>
    <m/>
    <x v="1"/>
    <n v="0"/>
  </r>
  <r>
    <x v="1"/>
    <x v="0"/>
    <s v="MMR012"/>
    <s v="Sittwe"/>
    <s v="MMR012D001"/>
    <x v="1"/>
    <s v="MMR012001"/>
    <s v="Kyaung Tet Lan Ward"/>
    <s v="MMR012001701"/>
    <m/>
    <s v="MMR012001701519"/>
    <x v="4"/>
    <x v="4"/>
    <n v="92.895600000000002"/>
    <n v="20.146916999999998"/>
    <m/>
    <m/>
    <m/>
    <n v="0"/>
    <s v="Accessible by All"/>
    <s v="IDP"/>
    <x v="1"/>
    <m/>
    <m/>
    <x v="1"/>
    <m/>
    <x v="1"/>
    <x v="1"/>
    <x v="1"/>
    <s v="Camp/Community Leader"/>
    <s v="Estimate"/>
    <d v="2013-09-03T00:00:00"/>
    <m/>
    <x v="1"/>
    <n v="0"/>
  </r>
  <r>
    <x v="1"/>
    <x v="0"/>
    <s v="MMR012"/>
    <s v="Sittwe"/>
    <s v="MMR012D001"/>
    <x v="1"/>
    <s v="MMR012001"/>
    <s v="Ywar Gyi (North) Ward"/>
    <s v="MMR012001701"/>
    <m/>
    <s v="MMR012001701515"/>
    <x v="5"/>
    <x v="5"/>
    <n v="92.896409000000006"/>
    <n v="20.153753999999999"/>
    <m/>
    <m/>
    <m/>
    <n v="0"/>
    <s v="Accessible by All"/>
    <s v="IDP"/>
    <x v="1"/>
    <m/>
    <m/>
    <x v="1"/>
    <m/>
    <x v="1"/>
    <x v="1"/>
    <x v="1"/>
    <s v="Camp/Community Leader"/>
    <s v="Estimate"/>
    <d v="2013-09-03T00:00:00"/>
    <m/>
    <x v="1"/>
    <n v="0"/>
  </r>
  <r>
    <x v="1"/>
    <x v="0"/>
    <s v="MMR012"/>
    <s v="Sittwe"/>
    <s v="MMR012D001"/>
    <x v="1"/>
    <s v="MMR012001"/>
    <s v="Ywar Gyi (South) Ward"/>
    <s v="MMR012001701"/>
    <m/>
    <s v="MMR012001701516"/>
    <x v="6"/>
    <x v="6"/>
    <n v="92.894450000000006"/>
    <n v="20.147099999999998"/>
    <m/>
    <m/>
    <m/>
    <n v="0"/>
    <s v="Accessible by All"/>
    <s v="IDP"/>
    <x v="1"/>
    <m/>
    <m/>
    <x v="1"/>
    <m/>
    <x v="1"/>
    <x v="1"/>
    <x v="1"/>
    <s v="Camp/Community Leader"/>
    <s v="Estimate"/>
    <d v="2013-09-03T00:00:00"/>
    <m/>
    <x v="1"/>
    <n v="0"/>
  </r>
  <r>
    <x v="1"/>
    <x v="0"/>
    <s v="MMR012"/>
    <s v="Sittwe"/>
    <s v="MMR012D001"/>
    <x v="1"/>
    <s v="MMR012001"/>
    <s v="Sin Ku Lan Ward"/>
    <s v="MMR012001701"/>
    <m/>
    <s v="MMR012001701512"/>
    <x v="7"/>
    <x v="7"/>
    <n v="92.896006"/>
    <n v="20.154330999999999"/>
    <m/>
    <m/>
    <m/>
    <n v="0"/>
    <s v="Accessible by All"/>
    <s v="IDP"/>
    <x v="1"/>
    <m/>
    <m/>
    <x v="1"/>
    <m/>
    <x v="1"/>
    <x v="1"/>
    <x v="1"/>
    <s v="Camp/Community Leader"/>
    <s v="Estimate"/>
    <d v="2013-09-03T00:00:00"/>
    <m/>
    <x v="1"/>
    <n v="0"/>
  </r>
  <r>
    <x v="1"/>
    <x v="0"/>
    <s v="MMR012"/>
    <s v="Sittwe"/>
    <s v="MMR012D001"/>
    <x v="1"/>
    <s v="MMR012001"/>
    <m/>
    <m/>
    <m/>
    <m/>
    <x v="8"/>
    <x v="8"/>
    <n v="92.893904000000006"/>
    <n v="20.146673"/>
    <m/>
    <m/>
    <m/>
    <n v="0"/>
    <s v="Accessible by All"/>
    <s v="IDP"/>
    <x v="1"/>
    <m/>
    <m/>
    <x v="1"/>
    <m/>
    <x v="1"/>
    <x v="1"/>
    <x v="1"/>
    <s v="Camp/Community Leader"/>
    <s v="Estimate"/>
    <d v="2013-09-03T00:00:00"/>
    <m/>
    <x v="1"/>
    <n v="0"/>
  </r>
  <r>
    <x v="1"/>
    <x v="0"/>
    <s v="MMR012"/>
    <s v="Sittwe"/>
    <s v="MMR012D001"/>
    <x v="1"/>
    <s v="MMR012001"/>
    <s v=" Bauk Thee Su Ward"/>
    <s v="MMR012001701"/>
    <m/>
    <s v="MMR012001701518"/>
    <x v="9"/>
    <x v="9"/>
    <n v="92.897783000000004"/>
    <n v="20.151050000000001"/>
    <m/>
    <m/>
    <m/>
    <n v="0"/>
    <s v="Accessible by All"/>
    <s v="IDP"/>
    <x v="1"/>
    <m/>
    <m/>
    <x v="1"/>
    <m/>
    <x v="1"/>
    <x v="1"/>
    <x v="1"/>
    <s v="Camp/Community Leader"/>
    <s v="Estimate"/>
    <d v="2013-09-03T00:00:00"/>
    <m/>
    <x v="1"/>
    <n v="0"/>
  </r>
  <r>
    <x v="1"/>
    <x v="0"/>
    <s v="MMR012"/>
    <s v="Sittwe"/>
    <s v="MMR012D001"/>
    <x v="1"/>
    <s v="MMR012001"/>
    <s v="Baung Dut Ward"/>
    <s v="MMR012001701"/>
    <m/>
    <s v="MMR012001701517"/>
    <x v="10"/>
    <x v="10"/>
    <n v="92.896944000000005"/>
    <n v="20.150891999999999"/>
    <m/>
    <m/>
    <m/>
    <n v="0"/>
    <s v="Accessible by All"/>
    <s v="IDP"/>
    <x v="1"/>
    <m/>
    <m/>
    <x v="1"/>
    <m/>
    <x v="1"/>
    <x v="1"/>
    <x v="1"/>
    <s v="Camp/Community Leader"/>
    <s v="Estimate"/>
    <d v="2013-09-03T00:00:00"/>
    <m/>
    <x v="1"/>
    <n v="0"/>
  </r>
  <r>
    <x v="1"/>
    <x v="0"/>
    <s v="MMR012"/>
    <s v="Sittwe"/>
    <s v="MMR012D001"/>
    <x v="1"/>
    <s v="MMR012001"/>
    <s v="Ywar Gyi (North) Ward"/>
    <s v="MMR012001701"/>
    <m/>
    <s v="MMR012001701515"/>
    <x v="11"/>
    <x v="11"/>
    <n v="92.894499999999994"/>
    <n v="20.1462"/>
    <m/>
    <m/>
    <m/>
    <n v="0"/>
    <s v="Accessible by All"/>
    <s v="IDP"/>
    <x v="1"/>
    <m/>
    <m/>
    <x v="1"/>
    <m/>
    <x v="1"/>
    <x v="1"/>
    <x v="1"/>
    <s v="Camp/Community Leader"/>
    <s v="Estimate"/>
    <d v="2013-09-03T00:00:00"/>
    <m/>
    <x v="1"/>
    <n v="0"/>
  </r>
  <r>
    <x v="1"/>
    <x v="0"/>
    <s v="MMR012"/>
    <s v="Sittwe"/>
    <s v="MMR012D001"/>
    <x v="1"/>
    <s v="MMR012001"/>
    <s v="Sin Ku Lan Ward"/>
    <s v="MMR012001701"/>
    <m/>
    <s v="MMR012001701512"/>
    <x v="12"/>
    <x v="12"/>
    <n v="92.897932999999995"/>
    <n v="20.155850000000001"/>
    <m/>
    <m/>
    <m/>
    <n v="0"/>
    <s v="Accessible by All"/>
    <s v="IDP"/>
    <x v="1"/>
    <m/>
    <m/>
    <x v="1"/>
    <m/>
    <x v="1"/>
    <x v="1"/>
    <x v="1"/>
    <s v="Camp/Community Leader"/>
    <s v="Estimate"/>
    <d v="2013-09-03T00:00:00"/>
    <m/>
    <x v="1"/>
    <n v="0"/>
  </r>
  <r>
    <x v="1"/>
    <x v="0"/>
    <s v="MMR012"/>
    <s v="Sittwe"/>
    <s v="MMR012D001"/>
    <x v="1"/>
    <s v="MMR012001"/>
    <s v="Pyi Taw Thar Ward"/>
    <s v="MMR012001701"/>
    <m/>
    <s v="MMR012001701520"/>
    <x v="13"/>
    <x v="13"/>
    <n v="92.888949999999994"/>
    <n v="20.125032999999998"/>
    <m/>
    <m/>
    <m/>
    <n v="0"/>
    <s v="Accessible by All"/>
    <s v="IDP"/>
    <x v="1"/>
    <m/>
    <m/>
    <x v="1"/>
    <m/>
    <x v="1"/>
    <x v="1"/>
    <x v="1"/>
    <s v="Camp/Community Leader"/>
    <s v="Estimate"/>
    <d v="2013-09-03T00:00:00"/>
    <m/>
    <x v="1"/>
    <n v="0"/>
  </r>
  <r>
    <x v="1"/>
    <x v="0"/>
    <s v="MMR012"/>
    <s v="Sittwe"/>
    <s v="MMR012D001"/>
    <x v="1"/>
    <s v="MMR012001"/>
    <s v="Ywar Gyi (South) Ward"/>
    <s v="MMR012001701"/>
    <m/>
    <s v="MMR012001701516"/>
    <x v="14"/>
    <x v="14"/>
    <n v="92.892431999999999"/>
    <n v="20.146041"/>
    <m/>
    <m/>
    <m/>
    <n v="0"/>
    <s v="Accessible by All"/>
    <s v="IDP"/>
    <x v="1"/>
    <m/>
    <m/>
    <x v="1"/>
    <m/>
    <x v="1"/>
    <x v="1"/>
    <x v="1"/>
    <s v="Camp/Community Leader"/>
    <s v="Estimate"/>
    <d v="2013-09-03T00:00:00"/>
    <m/>
    <x v="1"/>
    <n v="0"/>
  </r>
  <r>
    <x v="1"/>
    <x v="0"/>
    <s v="MMR012"/>
    <s v="Sittwe"/>
    <s v="MMR012D001"/>
    <x v="1"/>
    <s v="MMR012001"/>
    <s v="Ywar Gyi (North) Ward"/>
    <s v="MMR012001701"/>
    <m/>
    <s v="MMR012001701515"/>
    <x v="15"/>
    <x v="15"/>
    <n v="92.896417999999997"/>
    <n v="20.152895000000001"/>
    <m/>
    <m/>
    <m/>
    <n v="0"/>
    <s v="Accessible by All"/>
    <s v="IDP"/>
    <x v="1"/>
    <m/>
    <m/>
    <x v="1"/>
    <m/>
    <x v="1"/>
    <x v="1"/>
    <x v="1"/>
    <s v="Camp/Community Leader"/>
    <s v="Estimate"/>
    <d v="2013-09-03T00:00:00"/>
    <m/>
    <x v="1"/>
    <n v="0"/>
  </r>
  <r>
    <x v="1"/>
    <x v="0"/>
    <s v="MMR012"/>
    <s v="Sittwe"/>
    <s v="MMR012D001"/>
    <x v="1"/>
    <s v="MMR012001"/>
    <s v="Sin Ku Lan Ward"/>
    <s v="MMR012001701"/>
    <m/>
    <s v="MMR012001701512"/>
    <x v="16"/>
    <x v="16"/>
    <n v="92.896533000000005"/>
    <n v="20.15465"/>
    <m/>
    <m/>
    <m/>
    <n v="0"/>
    <s v="Accessible by All"/>
    <s v="IDP"/>
    <x v="1"/>
    <m/>
    <m/>
    <x v="1"/>
    <m/>
    <x v="1"/>
    <x v="1"/>
    <x v="1"/>
    <s v="Camp/Community Leader"/>
    <s v="Estimate"/>
    <d v="2013-09-03T00:00:00"/>
    <m/>
    <x v="1"/>
    <n v="0"/>
  </r>
  <r>
    <x v="1"/>
    <x v="0"/>
    <s v="MMR012"/>
    <s v="Sittwe"/>
    <s v="MMR012D001"/>
    <x v="1"/>
    <s v="MMR012001"/>
    <s v="Ywar Gyi (South) Ward"/>
    <s v="MMR012001701"/>
    <m/>
    <s v="MMR012001701516"/>
    <x v="17"/>
    <x v="17"/>
    <n v="92.893332999999998"/>
    <n v="20.146117"/>
    <m/>
    <m/>
    <m/>
    <n v="0"/>
    <s v="Accessible by All"/>
    <s v="IDP"/>
    <x v="1"/>
    <m/>
    <m/>
    <x v="1"/>
    <m/>
    <x v="1"/>
    <x v="1"/>
    <x v="1"/>
    <s v="Camp/Community Leader"/>
    <s v="Estimate"/>
    <d v="2013-09-03T00:00:00"/>
    <m/>
    <x v="1"/>
    <n v="0"/>
  </r>
  <r>
    <x v="0"/>
    <x v="0"/>
    <s v="MMR012"/>
    <s v="Kyaukpyu"/>
    <s v="MMR012D003"/>
    <x v="0"/>
    <s v="MMR012011"/>
    <s v="Gone Chein"/>
    <s v="MMR012011006"/>
    <s v="Say Poke Kay"/>
    <n v="198486"/>
    <x v="18"/>
    <x v="18"/>
    <n v="93.512326000000002"/>
    <n v="19.424576999999999"/>
    <m/>
    <n v="427"/>
    <n v="1274"/>
    <n v="2.9836065573770494"/>
    <s v="Accessible by All"/>
    <s v="IDP"/>
    <x v="0"/>
    <m/>
    <m/>
    <x v="2"/>
    <s v="Muslim"/>
    <x v="2"/>
    <x v="0"/>
    <x v="0"/>
    <s v="Camp/Community Leader"/>
    <s v="Estimate"/>
    <d v="2015-04-03T00:00:00"/>
    <m/>
    <x v="0"/>
    <n v="0.99297423887587821"/>
  </r>
  <r>
    <x v="0"/>
    <x v="0"/>
    <s v="MMR012"/>
    <s v="Sittwe"/>
    <s v="MMR012D001"/>
    <x v="2"/>
    <s v="MMR012004"/>
    <s v="Ya Da Nar Pon"/>
    <s v="MMR012004019"/>
    <s v="Ah Lel"/>
    <n v="196786"/>
    <x v="19"/>
    <x v="19"/>
    <n v="93.003204999999994"/>
    <n v="20.921424999999999"/>
    <m/>
    <n v="24"/>
    <n v="140"/>
    <n v="6.0869565217391308"/>
    <s v="Accessible by All"/>
    <s v="IDP"/>
    <x v="2"/>
    <s v="Yes"/>
    <m/>
    <x v="2"/>
    <s v="Muslim"/>
    <x v="2"/>
    <x v="0"/>
    <x v="0"/>
    <s v="Camp/Community Leader"/>
    <s v="Estimate"/>
    <d v="2015-04-03T00:00:00"/>
    <m/>
    <x v="0"/>
    <n v="1"/>
  </r>
  <r>
    <x v="0"/>
    <x v="0"/>
    <s v="MMR012"/>
    <s v="Sittwe"/>
    <s v="MMR012D001"/>
    <x v="2"/>
    <s v="MMR012004"/>
    <s v="Ah Lel Kyun"/>
    <s v="MMR012004031"/>
    <s v="Ah Lel Kyun Ku Lar"/>
    <n v="196842"/>
    <x v="20"/>
    <x v="20"/>
    <n v="93.014349999999993"/>
    <n v="20.896740000000001"/>
    <m/>
    <n v="14"/>
    <n v="84"/>
    <n v="6"/>
    <s v="Accessible by All"/>
    <s v="IDP"/>
    <x v="2"/>
    <s v="Yes"/>
    <m/>
    <x v="2"/>
    <s v="Muslim"/>
    <x v="2"/>
    <x v="0"/>
    <x v="0"/>
    <s v="Camp/Community Leader"/>
    <s v="Estimate"/>
    <d v="2015-04-03T00:00:00"/>
    <m/>
    <x v="0"/>
    <n v="1"/>
  </r>
  <r>
    <x v="0"/>
    <x v="0"/>
    <s v="MMR012"/>
    <s v="Sittwe"/>
    <s v="MMR012D001"/>
    <x v="2"/>
    <s v="MMR012004"/>
    <s v="Ah Pauk Wa"/>
    <s v="MMR012004064"/>
    <s v="Ah Pauk Wa"/>
    <n v="196946"/>
    <x v="21"/>
    <x v="21"/>
    <n v="92.961841000000007"/>
    <n v="20.720213000000001"/>
    <m/>
    <n v="92"/>
    <n v="559"/>
    <n v="6.0760869565217392"/>
    <s v="Accessible by All"/>
    <s v="IDP"/>
    <x v="2"/>
    <s v="Yes"/>
    <m/>
    <x v="2"/>
    <s v="Muslim"/>
    <x v="2"/>
    <x v="0"/>
    <x v="0"/>
    <s v="Camp/Community Leader"/>
    <s v="Household survey"/>
    <d v="2015-06-01T00:00:00"/>
    <m/>
    <x v="0"/>
    <n v="1"/>
  </r>
  <r>
    <x v="0"/>
    <x v="0"/>
    <s v="MMR012"/>
    <s v="Sittwe"/>
    <s v="MMR012D001"/>
    <x v="2"/>
    <s v="MMR012004"/>
    <s v="Goke Pi Htaunt"/>
    <s v="MMR012004074"/>
    <s v="Goke Pi Htaunt (Ku Lar)"/>
    <n v="196972"/>
    <x v="22"/>
    <x v="22"/>
    <n v="93.014089999999996"/>
    <n v="20.713259999999998"/>
    <m/>
    <n v="116"/>
    <n v="802"/>
    <n v="6.8879310344827589"/>
    <s v="Accessible by All"/>
    <s v="IDP"/>
    <x v="2"/>
    <s v="Yes"/>
    <m/>
    <x v="2"/>
    <s v="Muslim"/>
    <x v="2"/>
    <x v="0"/>
    <x v="0"/>
    <s v="Camp/Community Leader"/>
    <s v="Household survey"/>
    <d v="2015-06-01T00:00:00"/>
    <m/>
    <x v="0"/>
    <n v="0.68965517241379315"/>
  </r>
  <r>
    <x v="0"/>
    <x v="0"/>
    <s v="MMR012"/>
    <s v="Sittwe"/>
    <s v="MMR012D001"/>
    <x v="2"/>
    <s v="MMR012004"/>
    <s v="Doke Kan Chaung"/>
    <s v="MMR012004063"/>
    <s v="In Bar Yi"/>
    <n v="196945"/>
    <x v="23"/>
    <x v="23"/>
    <n v="93.009900000000002"/>
    <n v="20.696819999999999"/>
    <m/>
    <n v="236"/>
    <n v="1524"/>
    <n v="6.4576271186440675"/>
    <s v="Accessible by All"/>
    <s v="IDP"/>
    <x v="2"/>
    <s v="Yes"/>
    <m/>
    <x v="2"/>
    <s v="Muslim"/>
    <x v="2"/>
    <x v="0"/>
    <x v="0"/>
    <s v="Camp/Community Leader"/>
    <s v="Household survey"/>
    <d v="2015-06-01T00:00:00"/>
    <m/>
    <x v="0"/>
    <n v="0.98305084745762716"/>
  </r>
  <r>
    <x v="0"/>
    <x v="0"/>
    <s v="MMR012"/>
    <s v="Sittwe"/>
    <s v="MMR012D001"/>
    <x v="2"/>
    <s v="MMR012004"/>
    <s v="Khaung Toke"/>
    <s v="MMR012004030"/>
    <s v="Khaung Toke (Ku Lar)"/>
    <n v="196838"/>
    <x v="24"/>
    <x v="24"/>
    <n v="93.006497999999993"/>
    <n v="20.886997999999998"/>
    <m/>
    <n v="97"/>
    <n v="557"/>
    <n v="5.9381443298969074"/>
    <s v="Accessible by All"/>
    <s v="IDP"/>
    <x v="3"/>
    <s v="Yes"/>
    <m/>
    <x v="2"/>
    <s v="Muslim"/>
    <x v="2"/>
    <x v="0"/>
    <x v="0"/>
    <s v="Camp/Community Leader"/>
    <s v="Household survey"/>
    <d v="2015-06-01T00:00:00"/>
    <m/>
    <x v="0"/>
    <n v="0.82474226804123707"/>
  </r>
  <r>
    <x v="0"/>
    <x v="0"/>
    <s v="MMR012"/>
    <s v="Sittwe"/>
    <s v="MMR012D001"/>
    <x v="2"/>
    <s v="MMR012004"/>
    <s v="Hpa Yar Paung"/>
    <s v="MMR012004046"/>
    <s v="Taung Pauk"/>
    <n v="196873"/>
    <x v="25"/>
    <x v="25"/>
    <n v="92.982675999999998"/>
    <n v="20.805734000000001"/>
    <m/>
    <n v="18"/>
    <n v="157"/>
    <n v="8.7222222222222214"/>
    <s v="Accessible by All"/>
    <s v="IDP"/>
    <x v="2"/>
    <s v="Yes"/>
    <m/>
    <x v="2"/>
    <s v="Muslim"/>
    <x v="2"/>
    <x v="0"/>
    <x v="0"/>
    <s v="Camp/Community Leader"/>
    <s v="Estimate"/>
    <d v="2015-04-03T00:00:00"/>
    <m/>
    <x v="0"/>
    <n v="1"/>
  </r>
  <r>
    <x v="0"/>
    <x v="0"/>
    <s v="MMR012"/>
    <s v="Sittwe"/>
    <s v="MMR012D001"/>
    <x v="2"/>
    <s v="MMR012004"/>
    <s v="Wa Kin"/>
    <s v="MMR012004028"/>
    <s v="Ni Din"/>
    <n v="196829"/>
    <x v="26"/>
    <x v="26"/>
    <n v="92.965980999999999"/>
    <n v="20.865687000000001"/>
    <m/>
    <n v="85"/>
    <n v="531"/>
    <n v="6.8"/>
    <s v="Accessible by All"/>
    <s v="IDP"/>
    <x v="3"/>
    <s v="Yes"/>
    <m/>
    <x v="2"/>
    <s v="Muslim"/>
    <x v="2"/>
    <x v="0"/>
    <x v="0"/>
    <s v="Camp/Community Leader"/>
    <s v="Household survey"/>
    <d v="2015-06-01T00:00:00"/>
    <m/>
    <x v="0"/>
    <n v="0.84705882352941175"/>
  </r>
  <r>
    <x v="0"/>
    <x v="0"/>
    <s v="MMR012"/>
    <s v="Sittwe"/>
    <s v="MMR012D001"/>
    <x v="2"/>
    <s v="MMR012004"/>
    <s v="Sin Oe Chaing"/>
    <s v="MMR012004069"/>
    <s v="Shwe Hlaing Ku Lar"/>
    <n v="196868"/>
    <x v="27"/>
    <x v="27"/>
    <n v="92.987399999999994"/>
    <n v="20.78332"/>
    <m/>
    <n v="144"/>
    <n v="1006"/>
    <n v="7.1388888888888893"/>
    <s v="Accessible by All"/>
    <s v="IDP"/>
    <x v="2"/>
    <s v="Yes"/>
    <m/>
    <x v="2"/>
    <s v="Muslim"/>
    <x v="2"/>
    <x v="0"/>
    <x v="0"/>
    <s v="Camp/Community Leader"/>
    <s v="Household survey"/>
    <d v="2015-06-01T00:00:00"/>
    <m/>
    <x v="0"/>
    <n v="1"/>
  </r>
  <r>
    <x v="0"/>
    <x v="0"/>
    <s v="MMR012"/>
    <s v="Sittwe"/>
    <s v="MMR012D001"/>
    <x v="2"/>
    <s v="MMR012004"/>
    <s v="Ya Da Nar Pon"/>
    <s v="MMR012004019"/>
    <s v="Ku Lar Taung Bway"/>
    <n v="196789"/>
    <x v="28"/>
    <x v="28"/>
    <n v="93.000815000000003"/>
    <n v="20.929649000000001"/>
    <m/>
    <n v="63"/>
    <n v="414"/>
    <n v="6.67741935483871"/>
    <s v="Accessible by All"/>
    <s v="IDP"/>
    <x v="2"/>
    <s v="Yes"/>
    <m/>
    <x v="2"/>
    <s v="Muslim"/>
    <x v="2"/>
    <x v="0"/>
    <x v="0"/>
    <s v="Camp/Community Leader"/>
    <s v="Estimate"/>
    <d v="2015-04-03T00:00:00"/>
    <m/>
    <x v="0"/>
    <n v="1"/>
  </r>
  <r>
    <x v="1"/>
    <x v="0"/>
    <s v="MMR012"/>
    <m/>
    <m/>
    <x v="3"/>
    <s v="MMR012005"/>
    <s v="Shwe Ta Mar"/>
    <s v="MMR012005018"/>
    <s v="Na Ga Yar Pyin"/>
    <n v="197063"/>
    <x v="29"/>
    <x v="29"/>
    <n v="93.258476000000002"/>
    <n v="20.554084"/>
    <m/>
    <m/>
    <m/>
    <n v="0"/>
    <s v="Accessible by All"/>
    <s v="IDP"/>
    <x v="3"/>
    <m/>
    <m/>
    <x v="1"/>
    <m/>
    <x v="1"/>
    <x v="1"/>
    <x v="1"/>
    <s v="Camp/Community Leader"/>
    <s v="Estimate"/>
    <d v="2013-09-03T00:00:00"/>
    <m/>
    <x v="1"/>
    <n v="0"/>
  </r>
  <r>
    <x v="0"/>
    <x v="0"/>
    <s v="MMR012"/>
    <s v="Sittwe"/>
    <s v="MMR012D001"/>
    <x v="2"/>
    <s v="MMR012004"/>
    <s v="Ah Pauk Wa"/>
    <s v="MMR012004064"/>
    <s v="Yun Nyar"/>
    <n v="196952"/>
    <x v="30"/>
    <x v="30"/>
    <n v="92.969350000000006"/>
    <n v="20.727589999999999"/>
    <m/>
    <n v="112"/>
    <n v="738"/>
    <n v="6.5625"/>
    <s v="Accessible by All"/>
    <s v="IDP"/>
    <x v="2"/>
    <s v="Yes"/>
    <m/>
    <x v="2"/>
    <s v="Muslim"/>
    <x v="2"/>
    <x v="0"/>
    <x v="0"/>
    <s v="Camp/Community Leader"/>
    <s v="Household survey"/>
    <d v="2015-06-01T00:00:00"/>
    <m/>
    <x v="0"/>
    <n v="1"/>
  </r>
  <r>
    <x v="0"/>
    <x v="0"/>
    <s v="MMR012"/>
    <s v="Maungdaw"/>
    <s v="MMR012D002"/>
    <x v="4"/>
    <s v="MMR012009"/>
    <s v="Myo Ma (North) Ward"/>
    <s v="MMR012009701"/>
    <m/>
    <s v="MMR012009701503"/>
    <x v="31"/>
    <x v="31"/>
    <n v="92.365793999999994"/>
    <n v="20.819958"/>
    <m/>
    <n v="16"/>
    <n v="110"/>
    <n v="6.875"/>
    <s v="Accessible by All"/>
    <s v="IDP"/>
    <x v="3"/>
    <m/>
    <m/>
    <x v="2"/>
    <s v="Muslim"/>
    <x v="2"/>
    <x v="0"/>
    <x v="0"/>
    <s v="Camp/Community Leader"/>
    <s v="Estimate"/>
    <d v="2013-10-01T00:00:00"/>
    <m/>
    <x v="0"/>
    <n v="0"/>
  </r>
  <r>
    <x v="0"/>
    <x v="0"/>
    <s v="MMR012"/>
    <s v="Maungdaw"/>
    <s v="MMR012D002"/>
    <x v="4"/>
    <s v="MMR012009"/>
    <s v="Than Dar"/>
    <s v="MMR012009075"/>
    <s v="Myo Thu Gyi (Yar Zar Bi)"/>
    <n v="197988"/>
    <x v="32"/>
    <x v="32"/>
    <n v="92.443427999999997"/>
    <n v="20.714846999999999"/>
    <m/>
    <n v="48"/>
    <n v="289"/>
    <n v="6.020833333333333"/>
    <s v="Accessible by All"/>
    <s v="IDP"/>
    <x v="3"/>
    <m/>
    <m/>
    <x v="2"/>
    <s v="Muslim"/>
    <x v="2"/>
    <x v="0"/>
    <x v="0"/>
    <s v="Camp/Community Leader"/>
    <s v="Estimate"/>
    <d v="2013-10-01T00:00:00"/>
    <m/>
    <x v="0"/>
    <n v="0"/>
  </r>
  <r>
    <x v="0"/>
    <x v="0"/>
    <s v="MMR016"/>
    <s v="Maungdaw"/>
    <s v="MMR012D002"/>
    <x v="4"/>
    <s v="MMR012009"/>
    <s v="Zaw Ma Tet"/>
    <s v="MMR012009078"/>
    <s v="Hin Thar Ya"/>
    <n v="198049"/>
    <x v="33"/>
    <x v="33"/>
    <n v="92.435378"/>
    <n v="20.713882999999999"/>
    <m/>
    <n v="59"/>
    <n v="338"/>
    <n v="5.7288135593220337"/>
    <s v="Accessible by All"/>
    <s v="IDP"/>
    <x v="3"/>
    <m/>
    <m/>
    <x v="2"/>
    <s v="Muslim"/>
    <x v="2"/>
    <x v="0"/>
    <x v="0"/>
    <s v="Camp/Community Leader"/>
    <s v="Estimate"/>
    <d v="2013-10-01T00:00:00"/>
    <m/>
    <x v="0"/>
    <n v="0"/>
  </r>
  <r>
    <x v="0"/>
    <x v="0"/>
    <s v="MMR012"/>
    <s v="Maungdaw"/>
    <s v="MMR012D002"/>
    <x v="4"/>
    <s v="MMR012009"/>
    <s v="Myo Ma (North) Ward"/>
    <s v="MMR012009701"/>
    <m/>
    <s v="MMR012009701503"/>
    <x v="34"/>
    <x v="34"/>
    <n v="92.362932999999998"/>
    <n v="20.827044000000001"/>
    <m/>
    <n v="20"/>
    <n v="102"/>
    <n v="5.0999999999999996"/>
    <s v="Accessible by All"/>
    <s v="IDP"/>
    <x v="3"/>
    <m/>
    <m/>
    <x v="2"/>
    <s v="Muslim"/>
    <x v="2"/>
    <x v="0"/>
    <x v="0"/>
    <s v="Camp/Community Leader"/>
    <s v="Estimate"/>
    <d v="2015-01-14T00:00:00"/>
    <m/>
    <x v="0"/>
    <n v="0"/>
  </r>
  <r>
    <x v="0"/>
    <x v="0"/>
    <s v="MMR012"/>
    <s v="Maungdaw"/>
    <s v="MMR012D002"/>
    <x v="4"/>
    <s v="MMR012009"/>
    <s v="Urban"/>
    <s v="MMR012009701"/>
    <m/>
    <m/>
    <x v="35"/>
    <x v="35"/>
    <n v="92.362196999999995"/>
    <n v="20.824777999999998"/>
    <m/>
    <n v="6"/>
    <n v="37"/>
    <n v="6.166666666666667"/>
    <s v="Accessible by All"/>
    <s v="IDP"/>
    <x v="3"/>
    <m/>
    <m/>
    <x v="2"/>
    <s v="Muslim"/>
    <x v="2"/>
    <x v="0"/>
    <x v="0"/>
    <s v="Camp/Community Leader"/>
    <s v="Estimate"/>
    <d v="2013-10-01T00:00:00"/>
    <s v="Ward Name not available"/>
    <x v="0"/>
    <n v="0"/>
  </r>
  <r>
    <x v="0"/>
    <x v="0"/>
    <s v="MMR012"/>
    <s v="Maungdaw"/>
    <s v="MMR012D002"/>
    <x v="4"/>
    <s v="MMR012009"/>
    <s v="Laung Don"/>
    <s v="MMR012009025"/>
    <s v="Laung Done Zay Di Pyin"/>
    <n v="197868"/>
    <x v="36"/>
    <x v="36"/>
    <n v="92.338031000000001"/>
    <n v="21.066663999999999"/>
    <m/>
    <n v="8"/>
    <n v="59"/>
    <n v="7.375"/>
    <s v="Accessible by All"/>
    <s v="IDP"/>
    <x v="3"/>
    <m/>
    <m/>
    <x v="2"/>
    <s v="Muslim"/>
    <x v="2"/>
    <x v="0"/>
    <x v="0"/>
    <s v="Camp/Community Leader"/>
    <s v="Estimate"/>
    <d v="2015-01-14T00:00:00"/>
    <m/>
    <x v="0"/>
    <n v="0"/>
  </r>
  <r>
    <x v="0"/>
    <x v="0"/>
    <s v="MMR012"/>
    <s v="Maungdaw"/>
    <s v="MMR012D002"/>
    <x v="4"/>
    <s v="MMR012009"/>
    <s v="Myo Thu Gyi"/>
    <s v="MMR012009063"/>
    <s v="Ywar Haung"/>
    <n v="197990"/>
    <x v="37"/>
    <x v="37"/>
    <n v="92.401293999999993"/>
    <n v="20.824517"/>
    <m/>
    <n v="5"/>
    <n v="35"/>
    <n v="7"/>
    <s v="Accessible by All"/>
    <s v="IDP"/>
    <x v="3"/>
    <m/>
    <m/>
    <x v="2"/>
    <s v="Muslim"/>
    <x v="2"/>
    <x v="0"/>
    <x v="0"/>
    <s v="Camp/Community Leader"/>
    <s v="Estimate"/>
    <d v="2013-10-01T00:00:00"/>
    <m/>
    <x v="0"/>
    <n v="0"/>
  </r>
  <r>
    <x v="0"/>
    <x v="0"/>
    <s v="MMR012"/>
    <s v="Maungdaw"/>
    <s v="MMR012D002"/>
    <x v="4"/>
    <s v="MMR012009"/>
    <s v="Myo Thu Gyi"/>
    <s v="MMR012009063"/>
    <m/>
    <m/>
    <x v="38"/>
    <x v="38"/>
    <n v="92.416683000000006"/>
    <n v="20.833831"/>
    <m/>
    <n v="52"/>
    <n v="392"/>
    <n v="7.5384615384615383"/>
    <s v="Accessible by All"/>
    <s v="IDP"/>
    <x v="3"/>
    <m/>
    <m/>
    <x v="2"/>
    <s v="Muslim"/>
    <x v="2"/>
    <x v="0"/>
    <x v="0"/>
    <s v="Camp/Community Leader"/>
    <s v="Estimate"/>
    <d v="2013-10-01T00:00:00"/>
    <m/>
    <x v="0"/>
    <n v="0"/>
  </r>
  <r>
    <x v="0"/>
    <x v="0"/>
    <s v="MMR012"/>
    <s v="Maungdaw"/>
    <s v="MMR012D002"/>
    <x v="4"/>
    <s v="MMR012009"/>
    <s v="Ywar Thit Kay Ward"/>
    <s v="MMR012009701"/>
    <m/>
    <s v="MMR012009701505"/>
    <x v="39"/>
    <x v="39"/>
    <n v="92.367852999999997"/>
    <n v="20.825306000000001"/>
    <m/>
    <n v="5"/>
    <n v="38"/>
    <n v="7.6"/>
    <s v="Accessible by All"/>
    <s v="IDP"/>
    <x v="3"/>
    <m/>
    <m/>
    <x v="2"/>
    <s v="Muslim"/>
    <x v="2"/>
    <x v="0"/>
    <x v="0"/>
    <s v="Camp/Community Leader"/>
    <s v="Estimate"/>
    <d v="2015-01-14T00:00:00"/>
    <m/>
    <x v="0"/>
    <n v="0"/>
  </r>
  <r>
    <x v="1"/>
    <x v="0"/>
    <s v="MMR012"/>
    <s v="Maungdaw"/>
    <s v="MMR012D002"/>
    <x v="4"/>
    <s v="MMR012009"/>
    <s v="Ba Gone Nar"/>
    <s v="MMR012009066"/>
    <s v="Baw Di Kone(No standard name yet"/>
    <n v="217897"/>
    <x v="40"/>
    <x v="40"/>
    <n v="92.416263999999998"/>
    <n v="20.796128"/>
    <m/>
    <m/>
    <m/>
    <n v="0"/>
    <s v="Accessible by All"/>
    <s v="IDP"/>
    <x v="0"/>
    <m/>
    <m/>
    <x v="1"/>
    <m/>
    <x v="1"/>
    <x v="1"/>
    <x v="1"/>
    <s v="Camp/Community Leader"/>
    <s v="Estimate"/>
    <d v="2013-09-03T00:00:00"/>
    <m/>
    <x v="1"/>
    <n v="0"/>
  </r>
  <r>
    <x v="1"/>
    <x v="0"/>
    <s v="MMR013"/>
    <s v="Maungdaw"/>
    <s v="MMR012D002"/>
    <x v="4"/>
    <s v="MMR012009"/>
    <s v="Urban"/>
    <s v="MMR012009701"/>
    <m/>
    <m/>
    <x v="41"/>
    <x v="41"/>
    <n v="92.365618999999995"/>
    <n v="20.820316999999999"/>
    <m/>
    <m/>
    <m/>
    <n v="0"/>
    <s v="Accessible by All"/>
    <s v="IDP"/>
    <x v="0"/>
    <m/>
    <m/>
    <x v="1"/>
    <m/>
    <x v="1"/>
    <x v="1"/>
    <x v="1"/>
    <s v="Camp/Community Leader"/>
    <s v="Estimate"/>
    <d v="2013-10-01T00:00:00"/>
    <m/>
    <x v="1"/>
    <n v="0"/>
  </r>
  <r>
    <x v="1"/>
    <x v="0"/>
    <s v="MMR012"/>
    <s v="Maungdaw"/>
    <s v="MMR012D002"/>
    <x v="4"/>
    <s v="MMR012009"/>
    <s v="Ba Gone Nar"/>
    <s v="MMR012009066"/>
    <s v="Kan Thar Yar(No standard name yet)"/>
    <n v="217895"/>
    <x v="42"/>
    <x v="42"/>
    <n v="92.423364000000007"/>
    <n v="20.801544"/>
    <m/>
    <m/>
    <m/>
    <n v="0"/>
    <s v="Accessible by All"/>
    <s v="IDP"/>
    <x v="0"/>
    <m/>
    <m/>
    <x v="1"/>
    <m/>
    <x v="1"/>
    <x v="1"/>
    <x v="1"/>
    <s v="Camp/Community Leader"/>
    <s v="Estimate"/>
    <d v="2013-09-03T00:00:00"/>
    <m/>
    <x v="1"/>
    <n v="0"/>
  </r>
  <r>
    <x v="1"/>
    <x v="0"/>
    <s v="MMR012"/>
    <s v="Maungdaw"/>
    <s v="MMR012D002"/>
    <x v="4"/>
    <s v="MMR012009"/>
    <s v="(Du) Chee Yar Tan"/>
    <s v="MMR012009069"/>
    <s v="King Chaung(No standard name yet)"/>
    <n v="217898"/>
    <x v="43"/>
    <x v="43"/>
    <n v="92.424138999999997"/>
    <n v="20.762730999999999"/>
    <m/>
    <m/>
    <m/>
    <n v="0"/>
    <s v="Accessible by All"/>
    <s v="IDP"/>
    <x v="0"/>
    <m/>
    <m/>
    <x v="1"/>
    <m/>
    <x v="1"/>
    <x v="1"/>
    <x v="1"/>
    <s v="Camp/Community Leader"/>
    <s v="Estimate"/>
    <d v="2013-09-03T00:00:00"/>
    <m/>
    <x v="1"/>
    <n v="0"/>
  </r>
  <r>
    <x v="1"/>
    <x v="0"/>
    <s v="MMR012"/>
    <s v="Maungdaw"/>
    <s v="MMR012D002"/>
    <x v="4"/>
    <s v="MMR012009"/>
    <s v="NA"/>
    <s v="NA"/>
    <s v="NA"/>
    <s v="NA"/>
    <x v="44"/>
    <x v="44"/>
    <s v="NA"/>
    <s v="NA"/>
    <m/>
    <m/>
    <m/>
    <n v="0"/>
    <s v="Accessible by All"/>
    <s v="IDP"/>
    <x v="0"/>
    <m/>
    <m/>
    <x v="1"/>
    <m/>
    <x v="1"/>
    <x v="1"/>
    <x v="1"/>
    <s v="Camp/Community Leader"/>
    <s v="Estimate"/>
    <d v="2013-09-03T00:00:00"/>
    <m/>
    <x v="1"/>
    <n v="0"/>
  </r>
  <r>
    <x v="1"/>
    <x v="0"/>
    <s v="MMR012"/>
    <s v="Maungdaw"/>
    <s v="MMR012D002"/>
    <x v="4"/>
    <s v="MMR012009"/>
    <s v="NA"/>
    <s v="NA"/>
    <s v="NA"/>
    <s v="NA"/>
    <x v="45"/>
    <x v="45"/>
    <s v="NA"/>
    <s v="NA"/>
    <m/>
    <m/>
    <m/>
    <n v="0"/>
    <s v="Accessible by All"/>
    <s v="IDP"/>
    <x v="0"/>
    <m/>
    <m/>
    <x v="1"/>
    <m/>
    <x v="1"/>
    <x v="1"/>
    <x v="1"/>
    <s v="Camp/Community Leader"/>
    <s v="Estimate"/>
    <d v="2013-09-03T00:00:00"/>
    <m/>
    <x v="1"/>
    <n v="0"/>
  </r>
  <r>
    <x v="1"/>
    <x v="0"/>
    <s v="MMR012"/>
    <s v="Maungdaw"/>
    <s v="MMR012D002"/>
    <x v="4"/>
    <s v="MMR012009"/>
    <s v="Tha Yae Kone Tan"/>
    <s v="MMR012009080"/>
    <s v="Tha Ray Kon Baung"/>
    <n v="198016"/>
    <x v="46"/>
    <x v="46"/>
    <n v="92.429599999999994"/>
    <n v="20.729866999999999"/>
    <m/>
    <m/>
    <m/>
    <n v="0"/>
    <s v="Accessible by All"/>
    <s v="IDP"/>
    <x v="0"/>
    <m/>
    <m/>
    <x v="1"/>
    <m/>
    <x v="1"/>
    <x v="1"/>
    <x v="1"/>
    <s v="Camp/Community Leader"/>
    <s v="Estimate"/>
    <d v="2013-09-03T00:00:00"/>
    <m/>
    <x v="1"/>
    <n v="0"/>
  </r>
  <r>
    <x v="1"/>
    <x v="0"/>
    <s v="MMR014"/>
    <s v="Maungdaw"/>
    <s v="MMR012D002"/>
    <x v="4"/>
    <s v="MMR012009"/>
    <s v="Urban"/>
    <s v="MMR012009701"/>
    <m/>
    <m/>
    <x v="47"/>
    <x v="47"/>
    <n v="92.367536000000001"/>
    <n v="20.825500000000002"/>
    <m/>
    <m/>
    <m/>
    <n v="0"/>
    <s v="Accessible by All"/>
    <s v="IDP"/>
    <x v="0"/>
    <m/>
    <m/>
    <x v="1"/>
    <m/>
    <x v="1"/>
    <x v="1"/>
    <x v="1"/>
    <s v="Camp/Community Leader"/>
    <s v="Estimate"/>
    <d v="2013-10-01T00:00:00"/>
    <m/>
    <x v="1"/>
    <n v="0"/>
  </r>
  <r>
    <x v="1"/>
    <x v="0"/>
    <s v="MMR012"/>
    <s v="Sittwe"/>
    <s v="MMR012D001"/>
    <x v="1"/>
    <s v="MMR012001"/>
    <s v="Khaung Doke Kar"/>
    <s v="MMR012001025"/>
    <s v="Baw Du Hpa"/>
    <n v="196192"/>
    <x v="48"/>
    <x v="48"/>
    <n v="92.807418999999996"/>
    <n v="20.181238"/>
    <m/>
    <m/>
    <m/>
    <n v="0"/>
    <s v="Accessible by All"/>
    <s v="IDP"/>
    <x v="0"/>
    <m/>
    <m/>
    <x v="1"/>
    <m/>
    <x v="1"/>
    <x v="1"/>
    <x v="1"/>
    <s v="Camp/Community Leader"/>
    <s v="Estimate"/>
    <d v="2013-10-01T00:00:00"/>
    <m/>
    <x v="1"/>
    <n v="0"/>
  </r>
  <r>
    <x v="1"/>
    <x v="0"/>
    <s v="MMR012"/>
    <s v="Sittwe"/>
    <s v="MMR012D001"/>
    <x v="1"/>
    <s v="MMR012001"/>
    <s v="Baw Lone Kwin Ward"/>
    <s v="MMR012001701"/>
    <m/>
    <s v="MMR012001701528"/>
    <x v="49"/>
    <x v="49"/>
    <n v="92.889384000000007"/>
    <n v="20.135473999999999"/>
    <m/>
    <m/>
    <m/>
    <n v="0"/>
    <s v="Accessible by All"/>
    <s v="IDP"/>
    <x v="0"/>
    <m/>
    <m/>
    <x v="1"/>
    <m/>
    <x v="1"/>
    <x v="1"/>
    <x v="1"/>
    <s v="Camp/Community Leader"/>
    <s v="Estimate"/>
    <d v="2013-09-03T00:00:00"/>
    <m/>
    <x v="1"/>
    <n v="0"/>
  </r>
  <r>
    <x v="1"/>
    <x v="0"/>
    <s v="MMR012"/>
    <s v="Sittwe"/>
    <s v="MMR012D001"/>
    <x v="1"/>
    <s v="MMR012001"/>
    <s v="Ywar Gyi (North) Ward"/>
    <s v="MMR012001701"/>
    <m/>
    <s v="MMR012001701515"/>
    <x v="50"/>
    <x v="50"/>
    <n v="92.897177999999997"/>
    <n v="20.153129"/>
    <m/>
    <m/>
    <m/>
    <n v="0"/>
    <s v="Accessible by All"/>
    <s v="IDP"/>
    <x v="0"/>
    <m/>
    <m/>
    <x v="1"/>
    <m/>
    <x v="1"/>
    <x v="1"/>
    <x v="1"/>
    <s v="Camp/Community Leader"/>
    <s v="Estimate"/>
    <d v="2013-09-03T00:00:00"/>
    <m/>
    <x v="1"/>
    <n v="0"/>
  </r>
  <r>
    <x v="1"/>
    <x v="0"/>
    <s v="MMR012"/>
    <s v="Sittwe"/>
    <s v="MMR012D001"/>
    <x v="1"/>
    <s v="MMR012001"/>
    <s v="Khaung Doke Kar"/>
    <s v="MMR012001025"/>
    <m/>
    <m/>
    <x v="51"/>
    <x v="51"/>
    <n v="92.816638999999995"/>
    <n v="20.180194"/>
    <m/>
    <m/>
    <m/>
    <n v="0"/>
    <s v="Accessible by All"/>
    <s v="IDP"/>
    <x v="0"/>
    <m/>
    <m/>
    <x v="1"/>
    <m/>
    <x v="1"/>
    <x v="1"/>
    <x v="1"/>
    <s v="Camp/Community Leader"/>
    <s v="Estimate"/>
    <d v="2013-10-01T00:00:00"/>
    <m/>
    <x v="1"/>
    <n v="0"/>
  </r>
  <r>
    <x v="1"/>
    <x v="0"/>
    <s v="MMR012"/>
    <s v="Sittwe"/>
    <s v="MMR012D001"/>
    <x v="1"/>
    <s v="MMR012001"/>
    <s v="Bu May"/>
    <s v="MMR012001027"/>
    <s v="Hman Zi"/>
    <n v="196207"/>
    <x v="52"/>
    <x v="52"/>
    <n v="92.826407000000003"/>
    <n v="20.175169"/>
    <m/>
    <m/>
    <m/>
    <n v="0"/>
    <s v="Accessible by All"/>
    <s v="IDP"/>
    <x v="0"/>
    <m/>
    <m/>
    <x v="1"/>
    <m/>
    <x v="1"/>
    <x v="1"/>
    <x v="1"/>
    <s v="Camp/Community Leader"/>
    <s v="Estimate"/>
    <d v="2013-09-03T00:00:00"/>
    <m/>
    <x v="1"/>
    <n v="0"/>
  </r>
  <r>
    <x v="1"/>
    <x v="0"/>
    <s v="MMR012"/>
    <s v="Sittwe"/>
    <s v="MMR012D001"/>
    <x v="1"/>
    <s v="MMR012001"/>
    <s v="Ye New Su Ward"/>
    <s v="MMR012001701"/>
    <m/>
    <s v="MMR012001701523"/>
    <x v="53"/>
    <x v="53"/>
    <n v="92.886889999999994"/>
    <n v="20.132694999999998"/>
    <m/>
    <m/>
    <m/>
    <n v="0"/>
    <s v="Accessible by All"/>
    <s v="IDP"/>
    <x v="0"/>
    <m/>
    <m/>
    <x v="1"/>
    <m/>
    <x v="1"/>
    <x v="1"/>
    <x v="1"/>
    <s v="Camp/Community Leader"/>
    <s v="Estimate"/>
    <d v="2013-09-03T00:00:00"/>
    <m/>
    <x v="1"/>
    <n v="0"/>
  </r>
  <r>
    <x v="1"/>
    <x v="0"/>
    <s v="MMR012"/>
    <s v="Sittwe"/>
    <s v="MMR012D001"/>
    <x v="1"/>
    <s v="MMR012001"/>
    <s v="Min Gan Ward"/>
    <s v="MMR012001701"/>
    <m/>
    <s v="MMR012001701532"/>
    <x v="54"/>
    <x v="54"/>
    <n v="92.860598999999993"/>
    <n v="20.154343000000001"/>
    <m/>
    <m/>
    <m/>
    <n v="0"/>
    <s v="Accessible by All"/>
    <s v="IDP"/>
    <x v="0"/>
    <m/>
    <m/>
    <x v="1"/>
    <m/>
    <x v="1"/>
    <x v="1"/>
    <x v="1"/>
    <s v="Camp/Community Leader"/>
    <s v="Estimate"/>
    <d v="2013-09-03T00:00:00"/>
    <m/>
    <x v="1"/>
    <n v="0"/>
  </r>
  <r>
    <x v="1"/>
    <x v="0"/>
    <s v="MMR012"/>
    <s v="Sittwe"/>
    <s v="MMR012D001"/>
    <x v="1"/>
    <s v="MMR012001"/>
    <s v="Khaung Doke Kar"/>
    <s v="MMR012001025"/>
    <s v="Baw Du Hpa"/>
    <n v="196192"/>
    <x v="55"/>
    <x v="55"/>
    <n v="92.798676999999998"/>
    <n v="20.187750999999999"/>
    <m/>
    <m/>
    <m/>
    <n v="0"/>
    <s v="Accessible by All"/>
    <s v="IDP"/>
    <x v="0"/>
    <m/>
    <m/>
    <x v="1"/>
    <m/>
    <x v="1"/>
    <x v="1"/>
    <x v="1"/>
    <s v="Camp/Community Leader"/>
    <s v="Estimate"/>
    <d v="2013-10-01T00:00:00"/>
    <m/>
    <x v="1"/>
    <n v="0"/>
  </r>
  <r>
    <x v="1"/>
    <x v="0"/>
    <s v="MMR012"/>
    <s v="Sittwe"/>
    <s v="MMR012D001"/>
    <x v="1"/>
    <s v="MMR012001"/>
    <s v="Khaung Doke Kar"/>
    <s v="MMR012001025"/>
    <s v="Baw Du Hpa"/>
    <n v="196192"/>
    <x v="56"/>
    <x v="56"/>
    <n v="92.800693999999993"/>
    <n v="20.190055999999998"/>
    <m/>
    <m/>
    <m/>
    <n v="0"/>
    <s v="Accessible by All"/>
    <s v="IDP"/>
    <x v="0"/>
    <m/>
    <m/>
    <x v="1"/>
    <m/>
    <x v="1"/>
    <x v="1"/>
    <x v="1"/>
    <s v="Camp/Community Leader"/>
    <s v="Estimate"/>
    <d v="2013-10-01T00:00:00"/>
    <m/>
    <x v="1"/>
    <n v="0"/>
  </r>
  <r>
    <x v="1"/>
    <x v="0"/>
    <s v="MMR012"/>
    <s v="Sittwe"/>
    <s v="MMR012D001"/>
    <x v="1"/>
    <s v="MMR012001"/>
    <s v="Khaung Doke Kar"/>
    <s v="MMR012001025"/>
    <s v="Baw Du Hpa"/>
    <n v="196192"/>
    <x v="57"/>
    <x v="57"/>
    <n v="92.800528"/>
    <n v="20.185583000000001"/>
    <m/>
    <m/>
    <m/>
    <n v="0"/>
    <s v="Accessible by All"/>
    <s v="IDP"/>
    <x v="0"/>
    <m/>
    <m/>
    <x v="1"/>
    <m/>
    <x v="1"/>
    <x v="1"/>
    <x v="1"/>
    <s v="Camp/Community Leader"/>
    <s v="Estimate"/>
    <d v="2013-10-01T00:00:00"/>
    <s v="This HH and Total population is for Both camps Ohn Taw Gyi 4 and 5 because information is only possible to get combine information for 2 camps."/>
    <x v="1"/>
    <n v="0"/>
  </r>
  <r>
    <x v="1"/>
    <x v="0"/>
    <s v="MMR012"/>
    <s v="Sittwe"/>
    <s v="MMR012D001"/>
    <x v="1"/>
    <s v="MMR012001"/>
    <s v="Khaung Doke Kar"/>
    <s v="MMR012001025"/>
    <s v="Baw Du Hpa"/>
    <n v="196192"/>
    <x v="58"/>
    <x v="58"/>
    <n v="92.799861000000007"/>
    <n v="20.185193999999999"/>
    <m/>
    <m/>
    <m/>
    <n v="0"/>
    <s v="Accessible by All"/>
    <s v="IDP"/>
    <x v="0"/>
    <m/>
    <m/>
    <x v="1"/>
    <m/>
    <x v="1"/>
    <x v="1"/>
    <x v="1"/>
    <s v="Camp/Community Leader"/>
    <s v="Estimate"/>
    <d v="2013-10-01T00:00:00"/>
    <m/>
    <x v="1"/>
    <n v="0"/>
  </r>
  <r>
    <x v="1"/>
    <x v="0"/>
    <s v="MMR012"/>
    <s v="Sittwe"/>
    <s v="MMR012D001"/>
    <x v="1"/>
    <s v="MMR012001"/>
    <s v="Aung Daing"/>
    <s v="MMR012001005"/>
    <s v="Hpwe Ywar Kone"/>
    <n v="196157"/>
    <x v="59"/>
    <x v="59"/>
    <n v="92.788177000000005"/>
    <n v="20.207284999999999"/>
    <m/>
    <m/>
    <m/>
    <n v="0"/>
    <s v="Accessible by All"/>
    <s v="IDP"/>
    <x v="0"/>
    <m/>
    <m/>
    <x v="1"/>
    <m/>
    <x v="1"/>
    <x v="1"/>
    <x v="1"/>
    <s v="Camp/Community Leader"/>
    <s v="Estimate"/>
    <d v="2013-10-01T00:00:00"/>
    <m/>
    <x v="1"/>
    <n v="0"/>
  </r>
  <r>
    <x v="0"/>
    <x v="0"/>
    <s v="MMR012"/>
    <s v="Sittwe"/>
    <s v="MMR012D001"/>
    <x v="3"/>
    <s v="MMR012005"/>
    <s v="Sa Par Htar"/>
    <s v="MMR012005032"/>
    <s v="Aung Taing"/>
    <n v="197150"/>
    <x v="60"/>
    <x v="60"/>
    <n v="93.299485000000004"/>
    <n v="20.480898"/>
    <m/>
    <n v="86"/>
    <n v="444"/>
    <n v="5.7674418604651159"/>
    <s v="Accessible by All"/>
    <s v="IDP"/>
    <x v="2"/>
    <s v="Yes"/>
    <m/>
    <x v="2"/>
    <s v="Muslim"/>
    <x v="2"/>
    <x v="0"/>
    <x v="0"/>
    <s v="Camp/Community Leader"/>
    <s v="Household survey"/>
    <d v="2015-06-01T00:00:00"/>
    <m/>
    <x v="0"/>
    <n v="1"/>
  </r>
  <r>
    <x v="0"/>
    <x v="0"/>
    <s v="MMR012"/>
    <s v="Sittwe"/>
    <s v="MMR012D001"/>
    <x v="3"/>
    <s v="MMR012005"/>
    <s v="Kin Seik"/>
    <s v="MMR012005001"/>
    <s v="Kin Seik"/>
    <n v="196984"/>
    <x v="61"/>
    <x v="61"/>
    <n v="93.271642"/>
    <n v="20.377523"/>
    <m/>
    <n v="19"/>
    <n v="142"/>
    <n v="7.4736842105263159"/>
    <s v="Accessible by All"/>
    <s v="IDP"/>
    <x v="2"/>
    <s v="Yes"/>
    <m/>
    <x v="2"/>
    <s v="Muslim"/>
    <x v="2"/>
    <x v="0"/>
    <x v="0"/>
    <s v="Camp/Community Leader"/>
    <s v="Estimate"/>
    <d v="2015-04-03T00:00:00"/>
    <m/>
    <x v="0"/>
    <n v="1"/>
  </r>
  <r>
    <x v="0"/>
    <x v="0"/>
    <s v="MMR012"/>
    <s v="Sittwe"/>
    <s v="MMR012D001"/>
    <x v="3"/>
    <s v="MMR012005"/>
    <s v="San Bar Lay"/>
    <s v="MMR012005009"/>
    <s v="Zi War"/>
    <n v="197025"/>
    <x v="62"/>
    <x v="62"/>
    <n v="93.313627999999994"/>
    <n v="20.407971"/>
    <m/>
    <n v="225"/>
    <n v="1377"/>
    <n v="5.8577777777777778"/>
    <s v="Accessible by All"/>
    <s v="IDP"/>
    <x v="2"/>
    <s v="Yes"/>
    <m/>
    <x v="2"/>
    <s v="Muslim"/>
    <x v="2"/>
    <x v="0"/>
    <x v="0"/>
    <s v="Camp/Community Leader"/>
    <s v="Household survey"/>
    <d v="2015-06-01T00:00:00"/>
    <m/>
    <x v="0"/>
    <n v="1"/>
  </r>
  <r>
    <x v="0"/>
    <x v="0"/>
    <s v="MMR012"/>
    <s v="Sittwe"/>
    <s v="MMR012D001"/>
    <x v="3"/>
    <s v="MMR012005"/>
    <s v="Chaik Taung"/>
    <s v="MMR012005003"/>
    <s v="San Htoe Tan"/>
    <n v="196995"/>
    <x v="63"/>
    <x v="63"/>
    <n v="93.249669999999995"/>
    <n v="20.39902"/>
    <m/>
    <n v="86"/>
    <n v="476"/>
    <n v="6.058139534883721"/>
    <s v="Accessible by All"/>
    <s v="IDP"/>
    <x v="2"/>
    <s v="Yes"/>
    <m/>
    <x v="2"/>
    <s v="Muslim"/>
    <x v="2"/>
    <x v="0"/>
    <x v="0"/>
    <s v="Camp/Community Leader"/>
    <s v="Household survey"/>
    <d v="2015-06-01T00:00:00"/>
    <m/>
    <x v="0"/>
    <n v="1"/>
  </r>
  <r>
    <x v="0"/>
    <x v="0"/>
    <s v="MMR012"/>
    <s v="Sittwe"/>
    <s v="MMR012D001"/>
    <x v="3"/>
    <s v="MMR012005"/>
    <s v="Na Yan"/>
    <s v="MMR012005010"/>
    <s v="Sat Yon Maw (Ku Lar)"/>
    <n v="197023"/>
    <x v="64"/>
    <x v="64"/>
    <n v="93.314695"/>
    <n v="20.409645000000001"/>
    <m/>
    <n v="17"/>
    <n v="72"/>
    <n v="4"/>
    <s v="Accessible by All"/>
    <s v="IDP"/>
    <x v="3"/>
    <s v="No"/>
    <m/>
    <x v="0"/>
    <s v="Buddhist"/>
    <x v="0"/>
    <x v="0"/>
    <x v="0"/>
    <s v="Camp/Community Leader"/>
    <s v="Estimate"/>
    <d v="2015-04-03T00:00:00"/>
    <m/>
    <x v="0"/>
    <n v="1"/>
  </r>
  <r>
    <x v="0"/>
    <x v="0"/>
    <s v="MMR012"/>
    <s v="Sittwe"/>
    <s v="MMR012D001"/>
    <x v="3"/>
    <s v="MMR012005"/>
    <s v="Kin Seik"/>
    <s v="MMR012005001"/>
    <s v="Thar Dar"/>
    <n v="196997"/>
    <x v="65"/>
    <x v="65"/>
    <n v="93.257272"/>
    <n v="20.392137999999999"/>
    <m/>
    <n v="203"/>
    <n v="1420"/>
    <n v="5.3529411764705879"/>
    <s v="Accessible by All"/>
    <s v="IDP"/>
    <x v="2"/>
    <s v="Yes"/>
    <m/>
    <x v="2"/>
    <s v="Muslim"/>
    <x v="2"/>
    <x v="0"/>
    <x v="0"/>
    <s v="Camp/Community Leader"/>
    <s v="Household survey"/>
    <d v="2015-06-01T00:00:00"/>
    <m/>
    <x v="0"/>
    <n v="1"/>
  </r>
  <r>
    <x v="0"/>
    <x v="0"/>
    <s v="MMR012"/>
    <s v="Sittwe"/>
    <s v="MMR012D001"/>
    <x v="3"/>
    <s v="MMR012005"/>
    <s v="Tha Yet Oke"/>
    <s v="MMR012005017"/>
    <s v="Tha Yet Oke"/>
    <n v="197062"/>
    <x v="66"/>
    <x v="66"/>
    <n v="93.258573999999996"/>
    <n v="20.587142"/>
    <m/>
    <n v="275"/>
    <n v="1707"/>
    <n v="5.9527272727272731"/>
    <s v="Accessible by All"/>
    <s v="IDP"/>
    <x v="2"/>
    <s v="Yes"/>
    <m/>
    <x v="2"/>
    <s v="Muslim"/>
    <x v="2"/>
    <x v="0"/>
    <x v="0"/>
    <s v="Camp/Community Leader"/>
    <s v="Household survey"/>
    <d v="2015-06-01T00:00:00"/>
    <m/>
    <x v="0"/>
    <n v="1"/>
  </r>
  <r>
    <x v="0"/>
    <x v="0"/>
    <s v="MMR012"/>
    <s v="Sittwe"/>
    <s v="MMR012D001"/>
    <x v="5"/>
    <s v="MMR012003"/>
    <s v="Pu Rein"/>
    <s v="MMR012003004"/>
    <s v="Pu Rein"/>
    <n v="196428"/>
    <x v="67"/>
    <x v="67"/>
    <n v="93.245551000000006"/>
    <n v="20.576577"/>
    <m/>
    <n v="204"/>
    <n v="1265"/>
    <n v="5.5245098039215685"/>
    <s v="Accessible by All"/>
    <s v="IDP"/>
    <x v="2"/>
    <s v="Yes"/>
    <m/>
    <x v="2"/>
    <s v="Muslim"/>
    <x v="2"/>
    <x v="0"/>
    <x v="0"/>
    <s v="Camp/Community Leader"/>
    <s v="Household survey"/>
    <d v="2015-06-01T00:00:00"/>
    <m/>
    <x v="0"/>
    <n v="1"/>
  </r>
  <r>
    <x v="0"/>
    <x v="0"/>
    <s v="MMR012"/>
    <s v="Sittwe"/>
    <s v="MMR012D001"/>
    <x v="5"/>
    <s v="MMR012003"/>
    <s v="Sin Oe"/>
    <s v="MMR012003006"/>
    <s v="Raw Ma Ni"/>
    <n v="196441"/>
    <x v="68"/>
    <x v="68"/>
    <n v="93.239519999999999"/>
    <n v="20.61692"/>
    <m/>
    <n v="10"/>
    <n v="64"/>
    <n v="6.4"/>
    <s v="Accessible by All"/>
    <s v="IDP"/>
    <x v="3"/>
    <s v="No"/>
    <m/>
    <x v="3"/>
    <s v="Buddhist"/>
    <x v="3"/>
    <x v="0"/>
    <x v="0"/>
    <s v="Camp/Community Leader"/>
    <s v="Estimate"/>
    <d v="2015-04-03T00:00:00"/>
    <m/>
    <x v="0"/>
    <n v="1"/>
  </r>
  <r>
    <x v="0"/>
    <x v="0"/>
    <s v="MMR012"/>
    <s v="Sittwe"/>
    <s v="MMR012D001"/>
    <x v="5"/>
    <s v="MMR012003"/>
    <s v="Oke Kar Kyaw"/>
    <s v="MMR012003024"/>
    <s v="Thi Kyar"/>
    <n v="196501"/>
    <x v="69"/>
    <x v="69"/>
    <n v="93.246863000000005"/>
    <n v="20.495086000000001"/>
    <m/>
    <n v="31"/>
    <n v="131"/>
    <n v="4.225806451612903"/>
    <s v="Accessible by All"/>
    <s v="IDP"/>
    <x v="3"/>
    <s v="No"/>
    <m/>
    <x v="0"/>
    <s v="Buddhist"/>
    <x v="0"/>
    <x v="0"/>
    <x v="0"/>
    <s v="Camp/Community Leader"/>
    <s v="Estimate"/>
    <d v="2015-04-03T00:00:00"/>
    <s v="People are from Myat Buddha Mandine Monastery"/>
    <x v="0"/>
    <n v="1"/>
  </r>
  <r>
    <x v="0"/>
    <x v="0"/>
    <s v="MMR012"/>
    <s v="Sittwe"/>
    <s v="MMR012D001"/>
    <x v="5"/>
    <s v="MMR012003"/>
    <s v="Yin Thei"/>
    <s v="MMR012003026"/>
    <s v="Yin Thei"/>
    <n v="196507"/>
    <x v="70"/>
    <x v="70"/>
    <n v="93.217039999999997"/>
    <n v="20.501757999999999"/>
    <m/>
    <n v="365"/>
    <n v="2366"/>
    <n v="6.4821917808219176"/>
    <s v="Accessible by All"/>
    <s v="IDP"/>
    <x v="2"/>
    <s v="Yes"/>
    <m/>
    <x v="2"/>
    <s v="Muslim"/>
    <x v="2"/>
    <x v="0"/>
    <x v="0"/>
    <s v="Camp/Community Leader"/>
    <s v="Household survey"/>
    <d v="2015-06-01T00:00:00"/>
    <m/>
    <x v="0"/>
    <n v="1"/>
  </r>
  <r>
    <x v="0"/>
    <x v="0"/>
    <s v="MMR012"/>
    <s v="Sittwe"/>
    <s v="MMR012D001"/>
    <x v="6"/>
    <s v="MMR012006"/>
    <s v="Urban"/>
    <s v="MMR012006701"/>
    <s v="Kan Thar Htwet Wa Ward"/>
    <s v="MMR012006701502"/>
    <x v="71"/>
    <x v="71"/>
    <n v="93.373951000000005"/>
    <n v="20.041981"/>
    <m/>
    <n v="42"/>
    <n v="198"/>
    <n v="4.8292682926829267"/>
    <s v="Accessible by All"/>
    <s v="IDP"/>
    <x v="0"/>
    <m/>
    <m/>
    <x v="0"/>
    <s v="Buddhist"/>
    <x v="0"/>
    <x v="0"/>
    <x v="2"/>
    <s v="Individual Household"/>
    <s v="Household Headcount Survey"/>
    <d v="2015-05-06T00:00:00"/>
    <m/>
    <x v="2"/>
    <n v="1"/>
  </r>
  <r>
    <x v="0"/>
    <x v="0"/>
    <s v="MMR012"/>
    <s v="Sittwe"/>
    <s v="MMR012D001"/>
    <x v="6"/>
    <s v="MMR012006"/>
    <s v="Ah Ngu"/>
    <s v="MMR012006001"/>
    <s v="Pyin Taw Che"/>
    <n v="217973"/>
    <x v="72"/>
    <x v="72"/>
    <n v="93.370037999999994"/>
    <n v="20.037655000000001"/>
    <m/>
    <n v="682"/>
    <n v="2815"/>
    <n v="4.043413173652695"/>
    <s v="Accessible by All"/>
    <s v="IDP"/>
    <x v="0"/>
    <m/>
    <m/>
    <x v="2"/>
    <s v="Muslim"/>
    <x v="2"/>
    <x v="0"/>
    <x v="2"/>
    <s v="Individual Household"/>
    <s v="Household Headcount Survey"/>
    <d v="2015-05-04T00:00:00"/>
    <m/>
    <x v="2"/>
    <n v="1"/>
  </r>
  <r>
    <x v="0"/>
    <x v="0"/>
    <s v="MMR012"/>
    <s v="Sittwe"/>
    <s v="MMR012D001"/>
    <x v="7"/>
    <s v="MMR012007"/>
    <s v="Pein Hne Chaung"/>
    <s v="MMR012007049"/>
    <s v="Kyauk Pyin Seik"/>
    <n v="197537"/>
    <x v="73"/>
    <x v="73"/>
    <n v="92.985095000000001"/>
    <n v="20.108101999999999"/>
    <m/>
    <n v="1154"/>
    <n v="4218"/>
    <n v="3.7019064124783361"/>
    <s v="Accessible by All"/>
    <s v="IDP"/>
    <x v="0"/>
    <m/>
    <m/>
    <x v="2"/>
    <s v="Muslim"/>
    <x v="2"/>
    <x v="2"/>
    <x v="3"/>
    <s v="Individual Household"/>
    <s v="Household Headcount Survey"/>
    <d v="2015-04-06T00:00:00"/>
    <m/>
    <x v="3"/>
    <n v="0.66551126516464476"/>
  </r>
  <r>
    <x v="0"/>
    <x v="0"/>
    <s v="MMR012"/>
    <s v="Sittwe"/>
    <s v="MMR012D001"/>
    <x v="7"/>
    <s v="MMR012007"/>
    <s v="Urban"/>
    <s v="MMR012007701"/>
    <s v="Ba Wan Chaung Wa Su Ward"/>
    <s v="MMR012007701504"/>
    <x v="74"/>
    <x v="74"/>
    <n v="93.067891000000003"/>
    <n v="20.173468"/>
    <m/>
    <n v="21"/>
    <n v="122"/>
    <n v="5.8095238095238093"/>
    <s v="Accessible by All"/>
    <s v="IDP"/>
    <x v="0"/>
    <m/>
    <m/>
    <x v="0"/>
    <s v="Buddhist"/>
    <x v="0"/>
    <x v="2"/>
    <x v="3"/>
    <s v="Individual Household"/>
    <s v="Household Headcount Survey"/>
    <d v="2015-04-01T00:00:00"/>
    <m/>
    <x v="3"/>
    <n v="1"/>
  </r>
  <r>
    <x v="0"/>
    <x v="0"/>
    <s v="MMR012"/>
    <s v="Sittwe"/>
    <s v="MMR012D001"/>
    <x v="7"/>
    <s v="MMR012007"/>
    <s v="Pein Hne Chaung"/>
    <s v="MMR012007049"/>
    <s v="Kyein Ni Pyin"/>
    <n v="197533"/>
    <x v="75"/>
    <x v="75"/>
    <n v="93.010368999999997"/>
    <n v="20.090183"/>
    <m/>
    <n v="1152"/>
    <n v="5060"/>
    <n v="4.8249227600411944"/>
    <s v="Accessible by All"/>
    <s v="IDP"/>
    <x v="0"/>
    <m/>
    <m/>
    <x v="2"/>
    <s v="Muslim"/>
    <x v="2"/>
    <x v="0"/>
    <x v="0"/>
    <s v="Individual Household"/>
    <s v="Household Headcount Survey"/>
    <d v="2015-06-18T00:00:00"/>
    <m/>
    <x v="0"/>
    <n v="0.84027777777777779"/>
  </r>
  <r>
    <x v="0"/>
    <x v="0"/>
    <s v="MMR012"/>
    <s v="Sittwe"/>
    <s v="MMR012D001"/>
    <x v="7"/>
    <s v="MMR012007"/>
    <s v="Pon Nar Gyi"/>
    <s v="MMR012007012"/>
    <s v="Cha Eik"/>
    <n v="197414"/>
    <x v="76"/>
    <x v="76"/>
    <n v="93.154551999999995"/>
    <n v="20.073437999999999"/>
    <m/>
    <n v="1563"/>
    <n v="7477"/>
    <n v="4.7418321588725174"/>
    <s v="Accessible by All"/>
    <s v="IDP"/>
    <x v="0"/>
    <m/>
    <m/>
    <x v="2"/>
    <s v="Muslim"/>
    <x v="2"/>
    <x v="2"/>
    <x v="3"/>
    <s v="Individual Household"/>
    <s v="Household Headcount Survey"/>
    <d v="2015-04-03T00:00:00"/>
    <m/>
    <x v="3"/>
    <n v="1"/>
  </r>
  <r>
    <x v="0"/>
    <x v="0"/>
    <s v="MMR012"/>
    <s v="Sittwe"/>
    <s v="MMR012D001"/>
    <x v="7"/>
    <s v="MMR012007"/>
    <s v="Sin Tet Maw"/>
    <s v="MMR012007051"/>
    <s v="Sin Tet Maw (Ku Lar)"/>
    <n v="197548"/>
    <x v="77"/>
    <x v="77"/>
    <n v="92.993758999999997"/>
    <n v="20.064226000000001"/>
    <m/>
    <n v="794"/>
    <n v="2668"/>
    <n v="3.7519500780031203"/>
    <s v="Accessible by All"/>
    <s v="IDP"/>
    <x v="0"/>
    <m/>
    <m/>
    <x v="4"/>
    <s v="Muslim"/>
    <x v="4"/>
    <x v="0"/>
    <x v="0"/>
    <s v="Individual Household"/>
    <s v="Household Headcount Survey"/>
    <d v="2015-07-27T00:00:00"/>
    <m/>
    <x v="0"/>
    <n v="1"/>
  </r>
  <r>
    <x v="0"/>
    <x v="0"/>
    <s v="MMR012"/>
    <s v="Kyaukpyu"/>
    <s v="MMR012D003"/>
    <x v="8"/>
    <s v="MMR012013"/>
    <s v="Kha Maung Chi Taing"/>
    <s v="MMR012013020"/>
    <m/>
    <m/>
    <x v="78"/>
    <x v="78"/>
    <n v="93.865170000000006"/>
    <n v="19.091054"/>
    <m/>
    <n v="18"/>
    <n v="77"/>
    <n v="4.2777777777777777"/>
    <s v="Accessible by All"/>
    <s v="IDP"/>
    <x v="3"/>
    <m/>
    <m/>
    <x v="0"/>
    <s v="Buddhist"/>
    <x v="0"/>
    <x v="0"/>
    <x v="0"/>
    <s v="Camp/Community Leader"/>
    <s v="Estimate"/>
    <d v="2015-04-03T00:00:00"/>
    <s v="Urban"/>
    <x v="0"/>
    <n v="0"/>
  </r>
  <r>
    <x v="0"/>
    <x v="0"/>
    <s v="MMR012"/>
    <s v="Kyaukpyu"/>
    <s v="MMR012D003"/>
    <x v="8"/>
    <s v="MMR012013"/>
    <s v="Kha Maung Chi Taing"/>
    <s v="MMR012013020"/>
    <m/>
    <m/>
    <x v="79"/>
    <x v="79"/>
    <n v="93.857592999999994"/>
    <n v="19.088283000000001"/>
    <m/>
    <n v="60"/>
    <n v="187"/>
    <n v="3.1166666666666667"/>
    <s v="Accessible by All"/>
    <s v="IDP"/>
    <x v="0"/>
    <m/>
    <m/>
    <x v="2"/>
    <s v="Muslim"/>
    <x v="2"/>
    <x v="0"/>
    <x v="0"/>
    <s v="Camp/Community Leader"/>
    <s v="Estimate"/>
    <d v="2015-04-03T00:00:00"/>
    <s v="Urban"/>
    <x v="0"/>
    <n v="1"/>
  </r>
  <r>
    <x v="0"/>
    <x v="0"/>
    <s v="MMR012"/>
    <s v="Sittwe"/>
    <s v="MMR012D001"/>
    <x v="9"/>
    <s v="MMR012008"/>
    <s v="Chut Pyin"/>
    <s v="MMR012008006"/>
    <s v="Chut Pyin"/>
    <n v="197590"/>
    <x v="80"/>
    <x v="80"/>
    <n v="92.640022000000002"/>
    <n v="20.569219"/>
    <m/>
    <n v="251"/>
    <n v="1308"/>
    <n v="4.9240000000000004"/>
    <s v="Accessible by All"/>
    <s v="IDP"/>
    <x v="3"/>
    <m/>
    <m/>
    <x v="2"/>
    <s v="Muslim"/>
    <x v="2"/>
    <x v="0"/>
    <x v="0"/>
    <s v="Camp/Community Leader"/>
    <s v="Estimate"/>
    <d v="2015-10-14T00:00:00"/>
    <m/>
    <x v="0"/>
    <n v="0"/>
  </r>
  <r>
    <x v="0"/>
    <x v="0"/>
    <s v="MMR012"/>
    <s v="Sittwe"/>
    <s v="MMR012D001"/>
    <x v="9"/>
    <s v="MMR012008"/>
    <s v="Ah Nauk Pyin"/>
    <s v="MMR012008072"/>
    <s v="Ah Nauk Pyin"/>
    <n v="197763"/>
    <x v="81"/>
    <x v="81"/>
    <n v="92.781294000000003"/>
    <n v="20.399269"/>
    <m/>
    <n v="32"/>
    <n v="157"/>
    <n v="5.21875"/>
    <s v="Accessible by All"/>
    <s v="IDP"/>
    <x v="0"/>
    <m/>
    <m/>
    <x v="2"/>
    <s v="Muslim"/>
    <x v="2"/>
    <x v="0"/>
    <x v="0"/>
    <s v="Camp/Community Leader"/>
    <s v="Estimate"/>
    <d v="2015-10-14T00:00:00"/>
    <s v="Individual Accomodation to Planned Camp (Gov't constructed Long Houses)"/>
    <x v="0"/>
    <n v="1"/>
  </r>
  <r>
    <x v="0"/>
    <x v="0"/>
    <s v="MMR012"/>
    <s v="Sittwe"/>
    <s v="MMR012D001"/>
    <x v="9"/>
    <s v="MMR012008"/>
    <s v="Koe Tan Kauk"/>
    <s v="MMR012008031"/>
    <s v="Chein Khar Li (Ku Lar)"/>
    <n v="197651"/>
    <x v="82"/>
    <x v="82"/>
    <n v="92.660360999999995"/>
    <n v="20.408453000000002"/>
    <m/>
    <n v="217"/>
    <n v="1297"/>
    <n v="5.8853211009174311"/>
    <s v="Accessible by All"/>
    <s v="IDP"/>
    <x v="0"/>
    <m/>
    <m/>
    <x v="2"/>
    <s v="Muslim"/>
    <x v="2"/>
    <x v="0"/>
    <x v="0"/>
    <s v="Camp/Community Leader"/>
    <s v="Estimate"/>
    <d v="2015-10-14T00:00:00"/>
    <m/>
    <x v="0"/>
    <n v="0.88479262672811065"/>
  </r>
  <r>
    <x v="0"/>
    <x v="0"/>
    <s v="MMR012"/>
    <s v="Sittwe"/>
    <s v="MMR012D001"/>
    <x v="9"/>
    <s v="MMR012008"/>
    <s v="Koe Tan Kauk"/>
    <s v="MMR012008031"/>
    <s v="Koe Tan Kauk Ywar Ma"/>
    <n v="197652"/>
    <x v="83"/>
    <x v="83"/>
    <n v="92.639589000000001"/>
    <n v="20.447261000000001"/>
    <m/>
    <n v="193"/>
    <n v="961"/>
    <n v="4.624365482233503"/>
    <s v="Accessible by All"/>
    <s v="IDP"/>
    <x v="0"/>
    <m/>
    <m/>
    <x v="2"/>
    <s v="Muslim"/>
    <x v="2"/>
    <x v="0"/>
    <x v="0"/>
    <s v="Camp/Community Leader"/>
    <s v="Estimate"/>
    <d v="2015-10-14T00:00:00"/>
    <m/>
    <x v="0"/>
    <n v="1"/>
  </r>
  <r>
    <x v="0"/>
    <x v="0"/>
    <s v="MMR012"/>
    <s v="Sittwe"/>
    <s v="MMR012D001"/>
    <x v="9"/>
    <s v="MMR012008"/>
    <s v="Nyaung Pin Gyi"/>
    <s v="MMR012008082"/>
    <s v="Nyaung Pin Gyi (Ku Lar)"/>
    <n v="197780"/>
    <x v="84"/>
    <x v="84"/>
    <n v="92.785706000000005"/>
    <n v="20.335864000000001"/>
    <m/>
    <n v="54"/>
    <n v="332"/>
    <n v="6.2857142857142856"/>
    <s v="Accessible by All"/>
    <s v="IDP"/>
    <x v="0"/>
    <m/>
    <m/>
    <x v="2"/>
    <s v="Muslim"/>
    <x v="2"/>
    <x v="0"/>
    <x v="0"/>
    <s v="Camp/Community Leader"/>
    <s v="Estimate"/>
    <d v="2015-10-14T00:00:00"/>
    <s v="Individual Accomodation to Planned Camp (Gov't constructed Long Houses)"/>
    <x v="0"/>
    <n v="1"/>
  </r>
  <r>
    <x v="0"/>
    <x v="0"/>
    <s v="MMR012"/>
    <s v="Sittwe"/>
    <s v="MMR012D001"/>
    <x v="1"/>
    <s v="MMR012001"/>
    <s v="San Pya Ward"/>
    <s v="MMR012002701"/>
    <m/>
    <s v="MMR012002701501"/>
    <x v="85"/>
    <x v="85"/>
    <n v="92.875814000000005"/>
    <n v="20.128488999999998"/>
    <m/>
    <n v="397"/>
    <n v="2049"/>
    <n v="5.1612090680100753"/>
    <s v="Accessible by All"/>
    <s v="IDP"/>
    <x v="0"/>
    <m/>
    <m/>
    <x v="2"/>
    <s v="Muslim"/>
    <x v="2"/>
    <x v="2"/>
    <x v="3"/>
    <s v="Individual Household"/>
    <s v="Household Headcount Survey"/>
    <d v="2015-03-23T00:00:00"/>
    <m/>
    <x v="3"/>
    <n v="1"/>
  </r>
  <r>
    <x v="0"/>
    <x v="0"/>
    <s v="MMR012"/>
    <s v="Sittwe"/>
    <s v="MMR012D001"/>
    <x v="1"/>
    <s v="MMR012001"/>
    <s v="Khaung Doke Kar"/>
    <s v="MMR012001025"/>
    <s v="Baw Du Hpa"/>
    <n v="196192"/>
    <x v="86"/>
    <x v="86"/>
    <n v="92.804803000000007"/>
    <n v="20.182987000000001"/>
    <m/>
    <n v="41"/>
    <n v="226"/>
    <n v="5.5121951219512191"/>
    <s v="Accessible by All"/>
    <s v="IDP"/>
    <x v="2"/>
    <m/>
    <m/>
    <x v="2"/>
    <s v="Muslim"/>
    <x v="2"/>
    <x v="0"/>
    <x v="0"/>
    <s v="Camp/Community Leader"/>
    <s v="Estimate"/>
    <d v="2014-08-21T00:00:00"/>
    <m/>
    <x v="0"/>
    <n v="0"/>
  </r>
  <r>
    <x v="0"/>
    <x v="0"/>
    <s v="MMR012"/>
    <s v="Sittwe"/>
    <s v="MMR012D001"/>
    <x v="1"/>
    <s v="MMR012001"/>
    <s v="Khaung Doke Kar"/>
    <s v="MMR012001025"/>
    <s v="Baw Du Hpa"/>
    <n v="196192"/>
    <x v="87"/>
    <x v="87"/>
    <n v="92.813028000000003"/>
    <n v="20.179417000000001"/>
    <m/>
    <n v="997"/>
    <n v="4851"/>
    <n v="4.8655967903711135"/>
    <s v="Accessible by All"/>
    <s v="IDP"/>
    <x v="0"/>
    <m/>
    <m/>
    <x v="2"/>
    <s v="Muslim"/>
    <x v="2"/>
    <x v="2"/>
    <x v="4"/>
    <s v="Individual Household"/>
    <s v="Household Headcount Survey"/>
    <d v="2015-03-24T00:00:00"/>
    <m/>
    <x v="4"/>
    <n v="1"/>
  </r>
  <r>
    <x v="0"/>
    <x v="0"/>
    <s v="MMR012"/>
    <s v="Sittwe"/>
    <s v="MMR012D001"/>
    <x v="1"/>
    <s v="MMR012001"/>
    <s v="Khaung Doke Kar"/>
    <s v="MMR012001025"/>
    <s v="Baw Du Hpa"/>
    <n v="196192"/>
    <x v="88"/>
    <x v="88"/>
    <n v="92.807552000000001"/>
    <n v="20.181405999999999"/>
    <m/>
    <n v="1297"/>
    <n v="6917"/>
    <n v="5.3330763299922896"/>
    <s v="Accessible by All"/>
    <s v="IDP"/>
    <x v="0"/>
    <m/>
    <m/>
    <x v="2"/>
    <s v="Muslim"/>
    <x v="2"/>
    <x v="2"/>
    <x v="4"/>
    <s v="Individual Household"/>
    <s v="Household Headcount Survey"/>
    <d v="2015-03-25T00:00:00"/>
    <m/>
    <x v="4"/>
    <n v="1"/>
  </r>
  <r>
    <x v="1"/>
    <x v="0"/>
    <s v="MMR012"/>
    <s v="Maungdaw"/>
    <s v="MMR012D002"/>
    <x v="4"/>
    <s v="MMR012009"/>
    <s v="Zaw Ma Tet"/>
    <s v="MMR012009078"/>
    <s v="Hin Thar Ya"/>
    <n v="198049"/>
    <x v="89"/>
    <x v="89"/>
    <n v="92.435074999999998"/>
    <n v="20.714532999999999"/>
    <m/>
    <m/>
    <m/>
    <n v="0"/>
    <s v="Accessible by All"/>
    <s v="IDP"/>
    <x v="3"/>
    <m/>
    <m/>
    <x v="1"/>
    <m/>
    <x v="1"/>
    <x v="1"/>
    <x v="1"/>
    <s v="Camp/Community Leader"/>
    <s v="Estimate"/>
    <d v="2013-09-03T00:00:00"/>
    <m/>
    <x v="1"/>
    <n v="0"/>
  </r>
  <r>
    <x v="1"/>
    <x v="0"/>
    <s v="MMR012"/>
    <s v="Maungdaw"/>
    <s v="MMR012D002"/>
    <x v="4"/>
    <s v="MMR012009"/>
    <s v="Zaw Ma Tet"/>
    <s v="MMR012009078"/>
    <s v="Zaw Ma Tet"/>
    <n v="198045"/>
    <x v="90"/>
    <x v="90"/>
    <n v="92.426885999999996"/>
    <n v="20.717331000000001"/>
    <m/>
    <m/>
    <m/>
    <n v="0"/>
    <s v="Accessible by All"/>
    <s v="IDP"/>
    <x v="3"/>
    <m/>
    <m/>
    <x v="1"/>
    <m/>
    <x v="1"/>
    <x v="1"/>
    <x v="1"/>
    <s v="Camp/Community Leader"/>
    <s v="Estimate"/>
    <d v="2013-09-03T00:00:00"/>
    <m/>
    <x v="1"/>
    <n v="0"/>
  </r>
  <r>
    <x v="1"/>
    <x v="0"/>
    <s v="MMR015"/>
    <s v="Maungdaw"/>
    <s v="MMR012D002"/>
    <x v="4"/>
    <s v="MMR012009"/>
    <s v="Urban"/>
    <s v="MMR012009701"/>
    <m/>
    <m/>
    <x v="91"/>
    <x v="91"/>
    <n v="92.367932999999994"/>
    <n v="20.825417000000002"/>
    <m/>
    <m/>
    <m/>
    <n v="0"/>
    <s v="Accessible by All"/>
    <s v="IDP"/>
    <x v="3"/>
    <m/>
    <m/>
    <x v="1"/>
    <m/>
    <x v="1"/>
    <x v="1"/>
    <x v="1"/>
    <s v="Camp/Community Leader"/>
    <s v="Estimate"/>
    <d v="2013-10-01T00:00:00"/>
    <m/>
    <x v="1"/>
    <n v="0"/>
  </r>
  <r>
    <x v="0"/>
    <x v="0"/>
    <s v="MMR012"/>
    <s v="Sittwe"/>
    <s v="MMR012D001"/>
    <x v="1"/>
    <s v="MMR012001"/>
    <s v="Bu May"/>
    <s v="MMR012001027"/>
    <s v="Dar Paing Ywar Thit"/>
    <n v="196206"/>
    <x v="92"/>
    <x v="92"/>
    <n v="92.827427"/>
    <n v="20.16846"/>
    <m/>
    <n v="1397"/>
    <n v="8189"/>
    <n v="5.8618468146027203"/>
    <s v="Accessible by All"/>
    <s v="IDP"/>
    <x v="0"/>
    <m/>
    <m/>
    <x v="2"/>
    <s v="Muslim"/>
    <x v="2"/>
    <x v="2"/>
    <x v="4"/>
    <s v="Individual Household"/>
    <s v="Household Headcount Survey"/>
    <d v="2015-03-19T00:00:00"/>
    <m/>
    <x v="4"/>
    <n v="1"/>
  </r>
  <r>
    <x v="1"/>
    <x v="0"/>
    <s v="MMR012"/>
    <m/>
    <m/>
    <x v="3"/>
    <s v="MMR012005"/>
    <s v="San Bar Lay"/>
    <s v="MMR012005009"/>
    <s v="Thay Kan"/>
    <n v="197021"/>
    <x v="93"/>
    <x v="93"/>
    <n v="93.321956999999998"/>
    <n v="20.403735999999999"/>
    <m/>
    <m/>
    <m/>
    <n v="0"/>
    <s v="Accessible by All"/>
    <s v="IDP"/>
    <x v="3"/>
    <m/>
    <m/>
    <x v="1"/>
    <m/>
    <x v="1"/>
    <x v="1"/>
    <x v="1"/>
    <s v="Camp/Community Leader"/>
    <s v="Estimate"/>
    <d v="2013-09-03T00:00:00"/>
    <m/>
    <x v="1"/>
    <n v="0"/>
  </r>
  <r>
    <x v="1"/>
    <x v="0"/>
    <s v="MMR012"/>
    <s v="Sittwe"/>
    <s v="MMR012D001"/>
    <x v="7"/>
    <s v="MMR012007"/>
    <s v="Sin Tet Maw"/>
    <s v="MMR012007051"/>
    <s v="Sin Tet Maw (Ku Lar)"/>
    <n v="197548"/>
    <x v="94"/>
    <x v="94"/>
    <n v="92.993758999999997"/>
    <n v="20.064226000000001"/>
    <m/>
    <m/>
    <m/>
    <n v="0"/>
    <s v="Accessible by All"/>
    <s v="IDP"/>
    <x v="3"/>
    <m/>
    <m/>
    <x v="1"/>
    <m/>
    <x v="1"/>
    <x v="1"/>
    <x v="1"/>
    <s v="Camp/Community Leader"/>
    <s v="Estimate"/>
    <d v="2013-11-01T00:00:00"/>
    <s v="No Reliable figures available"/>
    <x v="1"/>
    <n v="0"/>
  </r>
  <r>
    <x v="1"/>
    <x v="0"/>
    <s v="MMR012"/>
    <s v="Sittwe"/>
    <s v="MMR012D001"/>
    <x v="1"/>
    <s v="MMR012001"/>
    <s v="Bu May"/>
    <s v="MMR012001027"/>
    <s v="Thea Chaung Let Tha Mar Kone"/>
    <n v="196209"/>
    <x v="95"/>
    <x v="95"/>
    <n v="92.847966999999997"/>
    <n v="20.147107999999999"/>
    <m/>
    <m/>
    <m/>
    <n v="0"/>
    <s v="Accessible by All"/>
    <s v="IDP"/>
    <x v="3"/>
    <m/>
    <m/>
    <x v="1"/>
    <m/>
    <x v="1"/>
    <x v="1"/>
    <x v="1"/>
    <s v="Camp/Community Leader"/>
    <s v="Estimate"/>
    <d v="2013-09-03T00:00:00"/>
    <m/>
    <x v="1"/>
    <n v="0"/>
  </r>
  <r>
    <x v="1"/>
    <x v="0"/>
    <s v="MMR012"/>
    <s v="Sittwe"/>
    <s v="MMR012D001"/>
    <x v="1"/>
    <s v="MMR012001"/>
    <s v="Bu May"/>
    <s v="MMR012001027"/>
    <s v="Tin Bi"/>
    <n v="196216"/>
    <x v="96"/>
    <x v="96"/>
    <n v="92.848348000000001"/>
    <n v="20.133385000000001"/>
    <m/>
    <m/>
    <m/>
    <n v="0"/>
    <s v="Accessible by All"/>
    <s v="IDP"/>
    <x v="3"/>
    <m/>
    <m/>
    <x v="1"/>
    <m/>
    <x v="1"/>
    <x v="1"/>
    <x v="1"/>
    <s v="Camp/Community Leader"/>
    <s v="Estimate"/>
    <d v="2013-09-03T00:00:00"/>
    <m/>
    <x v="1"/>
    <n v="0"/>
  </r>
  <r>
    <x v="1"/>
    <x v="0"/>
    <s v="MMR012"/>
    <s v="Sittwe"/>
    <s v="MMR012D001"/>
    <x v="1"/>
    <s v="MMR012001"/>
    <s v="Say Tha Mar"/>
    <s v="MMR012001010"/>
    <s v="Say Tha Mar Gyi"/>
    <n v="196154"/>
    <x v="97"/>
    <x v="97"/>
    <n v="92.792958999999996"/>
    <n v="20.205295"/>
    <m/>
    <m/>
    <m/>
    <n v="0"/>
    <s v="Accessible by All"/>
    <s v="IDP"/>
    <x v="3"/>
    <m/>
    <m/>
    <x v="1"/>
    <m/>
    <x v="1"/>
    <x v="1"/>
    <x v="1"/>
    <s v="Camp/Community Leader"/>
    <s v="Estimate"/>
    <d v="2013-09-03T00:00:00"/>
    <m/>
    <x v="1"/>
    <n v="0"/>
  </r>
  <r>
    <x v="1"/>
    <x v="0"/>
    <s v="MMR012"/>
    <s v="Sittwe"/>
    <s v="MMR012D001"/>
    <x v="1"/>
    <s v="MMR012001"/>
    <s v="Urban"/>
    <s v="MMR012001701"/>
    <s v="Sut Yoe Kya Ward"/>
    <s v="MMR012001701531"/>
    <x v="98"/>
    <x v="98"/>
    <n v="92.887277999999995"/>
    <n v="20.151471999999998"/>
    <m/>
    <m/>
    <m/>
    <n v="0"/>
    <s v="Accessible by All"/>
    <s v="IDP"/>
    <x v="3"/>
    <m/>
    <m/>
    <x v="1"/>
    <m/>
    <x v="1"/>
    <x v="1"/>
    <x v="1"/>
    <s v="Camp/Community Leader"/>
    <s v="Estimate"/>
    <d v="2013-10-01T00:00:00"/>
    <m/>
    <x v="1"/>
    <n v="0"/>
  </r>
  <r>
    <x v="1"/>
    <x v="0"/>
    <s v="MMR012"/>
    <s v="Sittwe"/>
    <s v="MMR012D001"/>
    <x v="1"/>
    <s v="MMR012001"/>
    <s v="Bu May"/>
    <s v="MMR012001027"/>
    <s v="Thea Chaung Ku Lar"/>
    <n v="196211"/>
    <x v="99"/>
    <x v="99"/>
    <n v="92.837576999999996"/>
    <n v="20.156842000000001"/>
    <m/>
    <m/>
    <m/>
    <n v="0"/>
    <s v="Accessible by All"/>
    <s v="IDP"/>
    <x v="3"/>
    <m/>
    <m/>
    <x v="1"/>
    <m/>
    <x v="1"/>
    <x v="1"/>
    <x v="1"/>
    <s v="Camp/Community Leader"/>
    <s v="Estimate"/>
    <d v="2013-11-01T00:00:00"/>
    <s v="Counted within Thae Chaung"/>
    <x v="1"/>
    <n v="0"/>
  </r>
  <r>
    <x v="1"/>
    <x v="0"/>
    <s v="MMR012"/>
    <s v="Sittwe"/>
    <s v="MMR012D001"/>
    <x v="5"/>
    <s v="MMR012003"/>
    <s v="Urban"/>
    <s v="MMR012003701"/>
    <m/>
    <m/>
    <x v="100"/>
    <x v="100"/>
    <n v="93.187995999999998"/>
    <n v="20.589569000000001"/>
    <s v="0"/>
    <m/>
    <m/>
    <n v="0"/>
    <s v="Accessible by All"/>
    <s v="IDP"/>
    <x v="1"/>
    <m/>
    <m/>
    <x v="1"/>
    <m/>
    <x v="1"/>
    <x v="1"/>
    <x v="1"/>
    <s v="Camp/Community Leader"/>
    <s v="Estimate"/>
    <d v="2013-10-01T00:00:00"/>
    <s v="Ward Name not available"/>
    <x v="1"/>
    <n v="0"/>
  </r>
  <r>
    <x v="0"/>
    <x v="0"/>
    <s v="MMR012"/>
    <s v="Sittwe"/>
    <s v="MMR012D001"/>
    <x v="1"/>
    <s v="MMR012001"/>
    <s v="Bu May"/>
    <s v="MMR012001027"/>
    <s v="Dar Paing Ywar Thit"/>
    <n v="196206"/>
    <x v="101"/>
    <x v="101"/>
    <n v="92.830074999999994"/>
    <n v="20.167421999999998"/>
    <m/>
    <n v="518"/>
    <n v="2951"/>
    <n v="5.6969111969111967"/>
    <s v="Accessible by All"/>
    <s v="IDP"/>
    <x v="2"/>
    <m/>
    <m/>
    <x v="2"/>
    <s v="Muslim"/>
    <x v="2"/>
    <x v="0"/>
    <x v="0"/>
    <s v="Camp/Community Leader"/>
    <s v="Estimate"/>
    <d v="2014-08-21T00:00:00"/>
    <m/>
    <x v="0"/>
    <n v="0"/>
  </r>
  <r>
    <x v="0"/>
    <x v="0"/>
    <s v="MMR012"/>
    <s v="Sittwe"/>
    <s v="MMR012D001"/>
    <x v="1"/>
    <s v="MMR012001"/>
    <s v="Khaung Doke Kar"/>
    <s v="MMR012001025"/>
    <s v="Khaung Doke Kar"/>
    <n v="196191"/>
    <x v="102"/>
    <x v="102"/>
    <n v="92.823166999999998"/>
    <n v="20.181778000000001"/>
    <m/>
    <n v="799"/>
    <n v="4354"/>
    <n v="5.4411027568922306"/>
    <s v="Accessible by All"/>
    <s v="IDP"/>
    <x v="0"/>
    <m/>
    <m/>
    <x v="2"/>
    <s v="Muslim"/>
    <x v="2"/>
    <x v="2"/>
    <x v="3"/>
    <s v="Individual Household"/>
    <s v="Household Headcount Survey"/>
    <d v="2015-04-06T00:00:00"/>
    <m/>
    <x v="3"/>
    <n v="1"/>
  </r>
  <r>
    <x v="0"/>
    <x v="0"/>
    <s v="MMR012"/>
    <s v="Sittwe"/>
    <s v="MMR012D001"/>
    <x v="1"/>
    <s v="MMR012001"/>
    <s v="Bu May"/>
    <s v="MMR012001027"/>
    <s v="Bu May"/>
    <n v="196200"/>
    <x v="103"/>
    <x v="103"/>
    <n v="92.831000000000003"/>
    <n v="20.185917"/>
    <m/>
    <n v="624"/>
    <n v="3352"/>
    <n v="5.3717948717948714"/>
    <s v="Accessible by All"/>
    <s v="IDP"/>
    <x v="0"/>
    <m/>
    <m/>
    <x v="2"/>
    <s v="Muslim"/>
    <x v="2"/>
    <x v="0"/>
    <x v="0"/>
    <s v="Individual Household"/>
    <s v="Household Headcount Survey"/>
    <d v="2015-06-08T00:00:00"/>
    <m/>
    <x v="0"/>
    <n v="1"/>
  </r>
  <r>
    <x v="0"/>
    <x v="0"/>
    <s v="MMR012"/>
    <s v="Sittwe"/>
    <s v="MMR012D001"/>
    <x v="1"/>
    <s v="MMR012001"/>
    <s v="Say Tha Mar"/>
    <s v="MMR012001010"/>
    <s v="Ohn Taw Shey"/>
    <n v="196158"/>
    <x v="104"/>
    <x v="104"/>
    <n v="92.774193999999994"/>
    <n v="20.206778"/>
    <m/>
    <n v="649"/>
    <n v="3389"/>
    <n v="5.221879815100154"/>
    <s v="Accessible by All"/>
    <s v="IDP"/>
    <x v="0"/>
    <m/>
    <m/>
    <x v="2"/>
    <s v="Muslim"/>
    <x v="2"/>
    <x v="2"/>
    <x v="4"/>
    <s v="Individual Household"/>
    <s v="Household Headcount Survey"/>
    <d v="2015-03-17T00:00:00"/>
    <m/>
    <x v="4"/>
    <n v="0.98613251155624038"/>
  </r>
  <r>
    <x v="0"/>
    <x v="0"/>
    <s v="MMR012"/>
    <s v="Sittwe"/>
    <s v="MMR012D001"/>
    <x v="1"/>
    <s v="MMR012001"/>
    <s v="Khaung Doke Kar"/>
    <s v="MMR012001025"/>
    <s v="Baw Du Hpa"/>
    <n v="196192"/>
    <x v="105"/>
    <x v="105"/>
    <n v="92.798880999999994"/>
    <n v="20.18994"/>
    <m/>
    <n v="2629"/>
    <n v="13655"/>
    <n v="5.1939901103081016"/>
    <s v="Accessible by All"/>
    <s v="IDP"/>
    <x v="0"/>
    <m/>
    <m/>
    <x v="2"/>
    <s v="Muslim"/>
    <x v="2"/>
    <x v="2"/>
    <x v="4"/>
    <s v="Individual Household"/>
    <s v="Household Headcount Survey"/>
    <d v="2015-04-07T00:00:00"/>
    <s v="Former OTG 1  - 115 shelters inland side, OTG 3, OTG 6, BDP (60)"/>
    <x v="4"/>
    <n v="1"/>
  </r>
  <r>
    <x v="0"/>
    <x v="0"/>
    <s v="MMR012"/>
    <s v="Sittwe"/>
    <s v="MMR012D001"/>
    <x v="1"/>
    <s v="MMR012001"/>
    <s v="Khaung Doke Kar"/>
    <s v="MMR012001025"/>
    <s v="Baw Du Hpa"/>
    <n v="196192"/>
    <x v="106"/>
    <x v="106"/>
    <n v="92.802295999999998"/>
    <n v="20.185092000000001"/>
    <m/>
    <n v="2243"/>
    <n v="12225"/>
    <n v="5.2180115916183683"/>
    <s v="Accessible by All"/>
    <s v="IDP"/>
    <x v="0"/>
    <m/>
    <m/>
    <x v="2"/>
    <s v="Muslim"/>
    <x v="2"/>
    <x v="2"/>
    <x v="3"/>
    <s v="Individual Household"/>
    <s v="Household Headcount Survey"/>
    <d v="2015-04-08T00:00:00"/>
    <m/>
    <x v="3"/>
    <n v="1"/>
  </r>
  <r>
    <x v="0"/>
    <x v="0"/>
    <s v="MMR012"/>
    <s v="Sittwe"/>
    <s v="MMR012D001"/>
    <x v="1"/>
    <s v="MMR012001"/>
    <s v="Urban"/>
    <s v="MMR012001701"/>
    <s v="Sut Yoe Kya Ward"/>
    <s v="MMR012001701531"/>
    <x v="107"/>
    <x v="107"/>
    <n v="92.887277999999995"/>
    <n v="20.151471999999998"/>
    <m/>
    <n v="249"/>
    <n v="1282"/>
    <n v="5.1485943775100402"/>
    <s v="Accessible by All"/>
    <s v="Resettled IDP"/>
    <x v="0"/>
    <m/>
    <m/>
    <x v="0"/>
    <s v="Buddhist"/>
    <x v="0"/>
    <x v="0"/>
    <x v="0"/>
    <s v="Individual Household"/>
    <s v="Household Headcount Survey"/>
    <d v="2015-03-25T00:00:00"/>
    <m/>
    <x v="0"/>
    <n v="1"/>
  </r>
  <r>
    <x v="0"/>
    <x v="0"/>
    <s v="MMR012"/>
    <s v="Sittwe"/>
    <s v="MMR012D001"/>
    <x v="1"/>
    <s v="MMR012001"/>
    <s v="Urban"/>
    <s v="MMR012001701"/>
    <s v="Sut Yoe Kya Ward"/>
    <s v="MMR012001701531"/>
    <x v="108"/>
    <x v="108"/>
    <n v="92.887277999999995"/>
    <n v="20.151471999999998"/>
    <m/>
    <n v="418"/>
    <n v="2200"/>
    <n v="5.2631578947368425"/>
    <s v="Accessible by All"/>
    <s v="Resettled IDP"/>
    <x v="0"/>
    <m/>
    <m/>
    <x v="0"/>
    <s v="Buddhist"/>
    <x v="0"/>
    <x v="0"/>
    <x v="0"/>
    <s v="Individual Household"/>
    <s v="Household Headcount Survey"/>
    <d v="2015-03-18T00:00:00"/>
    <m/>
    <x v="0"/>
    <n v="1"/>
  </r>
  <r>
    <x v="0"/>
    <x v="0"/>
    <s v="MMR012"/>
    <s v="Sittwe"/>
    <s v="MMR012D001"/>
    <x v="1"/>
    <s v="MMR012001"/>
    <s v="Say Tha Mar"/>
    <s v="MMR012001010"/>
    <s v="Say Tha Mar Gyi"/>
    <n v="196154"/>
    <x v="109"/>
    <x v="109"/>
    <n v="92.792479999999998"/>
    <n v="20.202525000000001"/>
    <m/>
    <n v="2436"/>
    <n v="12178"/>
    <n v="4.9991789819376029"/>
    <s v="Accessible by All"/>
    <s v="IDP"/>
    <x v="0"/>
    <m/>
    <m/>
    <x v="2"/>
    <s v="Muslim"/>
    <x v="2"/>
    <x v="2"/>
    <x v="4"/>
    <s v="Individual Household"/>
    <s v="Household Headcount Survey"/>
    <d v="2015-04-08T00:00:00"/>
    <s v="Merged with Phwe Yar Kone"/>
    <x v="4"/>
    <n v="1"/>
  </r>
  <r>
    <x v="0"/>
    <x v="0"/>
    <s v="MMR012"/>
    <s v="Sittwe"/>
    <s v="MMR012D001"/>
    <x v="1"/>
    <s v="MMR012001"/>
    <s v="Set Yon Su Ward"/>
    <s v="MMR012001701"/>
    <m/>
    <s v="MMR012001701526"/>
    <x v="110"/>
    <x v="110"/>
    <n v="92.880319999999998"/>
    <n v="20.148584"/>
    <m/>
    <n v="72"/>
    <n v="462"/>
    <n v="6.416666666666667"/>
    <s v="Accessible by All"/>
    <s v="IDP"/>
    <x v="0"/>
    <m/>
    <m/>
    <x v="3"/>
    <s v="Buddhist"/>
    <x v="3"/>
    <x v="2"/>
    <x v="3"/>
    <s v="Individual Household"/>
    <s v="Household Headcount Survey"/>
    <d v="2015-03-20T00:00:00"/>
    <m/>
    <x v="3"/>
    <n v="1"/>
  </r>
  <r>
    <x v="0"/>
    <x v="0"/>
    <s v="MMR012"/>
    <s v="Sittwe"/>
    <s v="MMR012D001"/>
    <x v="1"/>
    <s v="MMR012001"/>
    <s v="Set Yon Su Ward"/>
    <s v="MMR012001701"/>
    <m/>
    <s v="MMR012001701526"/>
    <x v="111"/>
    <x v="111"/>
    <n v="92.879138999999995"/>
    <n v="20.155805999999998"/>
    <m/>
    <n v="151"/>
    <n v="640"/>
    <n v="4.2384105960264904"/>
    <s v="Accessible by All"/>
    <s v="IDP"/>
    <x v="0"/>
    <m/>
    <m/>
    <x v="0"/>
    <s v="Buddhist"/>
    <x v="0"/>
    <x v="2"/>
    <x v="3"/>
    <s v="Individual Household"/>
    <s v="Household Headcount Survey"/>
    <d v="2015-03-20T00:00:00"/>
    <m/>
    <x v="3"/>
    <n v="1"/>
  </r>
  <r>
    <x v="0"/>
    <x v="0"/>
    <s v="MMR012"/>
    <s v="Sittwe"/>
    <s v="MMR012D001"/>
    <x v="1"/>
    <s v="MMR012001"/>
    <s v="Bu May"/>
    <s v="MMR012001027"/>
    <s v="Thea Chaung Ku Lar"/>
    <n v="196211"/>
    <x v="112"/>
    <x v="112"/>
    <n v="92.839416999999997"/>
    <n v="20.1585"/>
    <m/>
    <n v="2145"/>
    <n v="11663"/>
    <n v="5.4372960372960373"/>
    <s v="Accessible by All"/>
    <s v="IDP"/>
    <x v="3"/>
    <m/>
    <m/>
    <x v="2"/>
    <s v="Muslim"/>
    <x v="2"/>
    <x v="2"/>
    <x v="3"/>
    <s v="Individual Household"/>
    <s v="Household Headcount Survey"/>
    <d v="2015-04-19T00:00:00"/>
    <m/>
    <x v="3"/>
    <n v="0"/>
  </r>
  <r>
    <x v="1"/>
    <x v="0"/>
    <s v="MMR012"/>
    <s v="Sittwe"/>
    <s v="MMR012D001"/>
    <x v="1"/>
    <s v="MMR012001"/>
    <s v="Bu May"/>
    <s v="MMR012001027"/>
    <s v="Thea Chaung Ku Lar"/>
    <n v="196211"/>
    <x v="113"/>
    <x v="113"/>
    <n v="92.839166000000006"/>
    <n v="20.157311"/>
    <m/>
    <m/>
    <m/>
    <m/>
    <s v="Accessible by All"/>
    <s v="IDP"/>
    <x v="2"/>
    <m/>
    <m/>
    <x v="2"/>
    <m/>
    <x v="5"/>
    <x v="1"/>
    <x v="5"/>
    <m/>
    <m/>
    <d v="2015-10-01T00:00:00"/>
    <s v="LWF reported Thea Chaung Camp and Thea Chaung host families as a combine one (Thea Chaung)"/>
    <x v="5"/>
    <n v="0"/>
  </r>
  <r>
    <x v="0"/>
    <x v="0"/>
    <s v="MMR012"/>
    <s v="Sittwe"/>
    <s v="MMR012D001"/>
    <x v="1"/>
    <s v="MMR012001"/>
    <s v="Bu May"/>
    <s v="MMR012001027"/>
    <s v="Kha War De Ywar Haung"/>
    <n v="196186"/>
    <x v="114"/>
    <x v="114"/>
    <n v="92.831879000000001"/>
    <n v="20.179939999999998"/>
    <m/>
    <n v="984"/>
    <n v="5656"/>
    <n v="5.7479674796747968"/>
    <s v="Accessible by All"/>
    <s v="IDP"/>
    <x v="0"/>
    <m/>
    <m/>
    <x v="2"/>
    <s v="Muslim"/>
    <x v="2"/>
    <x v="0"/>
    <x v="0"/>
    <s v="Individual Household"/>
    <s v="Household Headcount Survey"/>
    <d v="2015-06-16T00:00:00"/>
    <m/>
    <x v="0"/>
    <n v="1"/>
  </r>
  <r>
    <x v="0"/>
    <x v="0"/>
    <s v="MMR012"/>
    <s v="Sittwe"/>
    <s v="MMR012D001"/>
    <x v="1"/>
    <s v="MMR012001"/>
    <s v="Bu May"/>
    <s v="MMR012001027"/>
    <s v="Kha War De Ywar Haung"/>
    <n v="196186"/>
    <x v="115"/>
    <x v="115"/>
    <n v="92.842230000000001"/>
    <n v="20.181742"/>
    <m/>
    <n v="496"/>
    <n v="2942"/>
    <n v="5.931451612903226"/>
    <s v="Accessible by All"/>
    <s v="IDP"/>
    <x v="2"/>
    <m/>
    <m/>
    <x v="2"/>
    <s v="Muslim"/>
    <x v="2"/>
    <x v="0"/>
    <x v="0"/>
    <s v="Camp/Community Leader"/>
    <s v="Estimate"/>
    <d v="2014-08-21T00:00:00"/>
    <m/>
    <x v="0"/>
    <n v="0"/>
  </r>
  <r>
    <x v="0"/>
    <x v="0"/>
    <s v="MMR012"/>
    <s v="Sittwe"/>
    <s v="MMR012D001"/>
    <x v="1"/>
    <s v="MMR012001"/>
    <s v="Thin Pone Tan"/>
    <s v="MMR012001002"/>
    <s v="Thin Pone Tan"/>
    <n v="196129"/>
    <x v="116"/>
    <x v="116"/>
    <n v="92.836860999999999"/>
    <n v="20.226865"/>
    <m/>
    <n v="7"/>
    <n v="27"/>
    <n v="3.8571428571428572"/>
    <s v="Accessible by All"/>
    <s v="IDP"/>
    <x v="2"/>
    <m/>
    <m/>
    <x v="0"/>
    <s v="Buddhist"/>
    <x v="0"/>
    <x v="0"/>
    <x v="0"/>
    <s v="Camp/Community Leader"/>
    <s v="Estimate"/>
    <d v="2014-08-21T00:00:00"/>
    <m/>
    <x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0" firstHeaderRow="1" firstDataRow="1" firstDataCol="3" rowPageCount="1" colPageCount="1"/>
  <pivotFields count="36">
    <pivotField axis="axisRow" compact="0" outline="0" showAll="0" defaultSubtotal="0">
      <items count="2">
        <item x="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7">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0"/>
        <item x="71"/>
        <item x="42"/>
        <item x="6"/>
        <item x="102"/>
        <item x="24"/>
        <item x="43"/>
        <item x="83"/>
        <item x="44"/>
        <item x="18"/>
        <item x="75"/>
        <item x="90"/>
        <item x="7"/>
        <item x="25"/>
        <item x="53"/>
        <item x="8"/>
        <item x="103"/>
        <item x="45"/>
        <item x="54"/>
        <item x="100"/>
        <item x="9"/>
        <item x="34"/>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36"/>
        <item x="13"/>
        <item x="28"/>
        <item x="72"/>
        <item x="65"/>
        <item x="46"/>
        <item x="66"/>
        <item x="112"/>
        <item x="113"/>
        <item x="99"/>
        <item x="14"/>
        <item x="37"/>
        <item x="93"/>
        <item x="15"/>
        <item x="114"/>
        <item x="115"/>
        <item x="69"/>
        <item x="116"/>
        <item x="38"/>
        <item x="16"/>
        <item x="17"/>
        <item x="70"/>
        <item x="30"/>
        <item x="39"/>
        <item x="47"/>
        <item x="91"/>
      </items>
    </pivotField>
    <pivotField axis="axisRow" compact="0" outline="0" showAll="0" defaultSubtotal="0">
      <items count="117">
        <item x="61"/>
        <item x="65"/>
        <item x="63"/>
        <item x="29"/>
        <item x="66"/>
        <item x="60"/>
        <item x="93"/>
        <item x="62"/>
        <item x="67"/>
        <item x="70"/>
        <item x="100"/>
        <item x="68"/>
        <item x="71"/>
        <item x="72"/>
        <item x="74"/>
        <item x="73"/>
        <item x="76"/>
        <item x="75"/>
        <item x="77"/>
        <item x="25"/>
        <item x="28"/>
        <item x="19"/>
        <item x="26"/>
        <item x="21"/>
        <item x="20"/>
        <item x="23"/>
        <item x="22"/>
        <item x="30"/>
        <item x="27"/>
        <item x="24"/>
        <item x="84"/>
        <item x="81"/>
        <item x="82"/>
        <item x="80"/>
        <item x="18"/>
        <item x="0"/>
        <item x="79"/>
        <item x="78"/>
        <item x="85"/>
        <item x="48"/>
        <item x="92"/>
        <item x="102"/>
        <item x="55"/>
        <item x="59"/>
        <item x="109"/>
        <item x="112"/>
        <item x="99"/>
        <item x="114"/>
        <item x="52"/>
        <item x="97"/>
        <item x="95"/>
        <item x="96"/>
        <item x="53"/>
        <item x="54"/>
        <item x="49"/>
        <item x="110"/>
        <item x="50"/>
        <item x="116"/>
        <item x="2"/>
        <item x="3"/>
        <item x="5"/>
        <item x="7"/>
        <item x="9"/>
        <item x="10"/>
        <item x="11"/>
        <item x="13"/>
        <item x="15"/>
        <item x="12"/>
        <item x="1"/>
        <item x="14"/>
        <item x="6"/>
        <item x="8"/>
        <item x="4"/>
        <item x="17"/>
        <item x="16"/>
        <item x="45"/>
        <item x="46"/>
        <item x="44"/>
        <item x="40"/>
        <item x="43"/>
        <item x="42"/>
        <item x="35"/>
        <item x="34"/>
        <item x="31"/>
        <item x="39"/>
        <item x="37"/>
        <item x="90"/>
        <item x="32"/>
        <item x="89"/>
        <item x="56"/>
        <item x="115"/>
        <item x="103"/>
        <item x="111"/>
        <item x="36"/>
        <item x="38"/>
        <item x="94"/>
        <item x="101"/>
        <item x="104"/>
        <item x="57"/>
        <item x="58"/>
        <item x="113"/>
        <item x="51"/>
        <item x="86"/>
        <item x="64"/>
        <item x="98"/>
        <item x="41"/>
        <item x="47"/>
        <item x="91"/>
        <item x="33"/>
        <item x="83"/>
        <item x="107"/>
        <item x="108"/>
        <item x="87"/>
        <item x="88"/>
        <item x="105"/>
        <item x="106"/>
        <item x="69"/>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3">
    <field x="11"/>
    <field x="12"/>
    <field x="0"/>
  </rowFields>
  <rowItems count="117">
    <i>
      <x/>
      <x v="33"/>
      <x v="1"/>
    </i>
    <i>
      <x v="1"/>
      <x v="21"/>
      <x v="1"/>
    </i>
    <i>
      <x v="2"/>
      <x v="24"/>
      <x v="1"/>
    </i>
    <i>
      <x v="3"/>
      <x v="31"/>
      <x v="1"/>
    </i>
    <i>
      <x v="4"/>
      <x v="15"/>
      <x v="1"/>
    </i>
    <i>
      <x v="5"/>
      <x v="23"/>
      <x v="1"/>
    </i>
    <i>
      <x v="6"/>
      <x v="88"/>
      <x/>
    </i>
    <i>
      <x v="7"/>
      <x v="68"/>
      <x/>
    </i>
    <i>
      <x v="8"/>
      <x v="5"/>
      <x v="1"/>
    </i>
    <i>
      <x v="9"/>
      <x v="14"/>
      <x v="1"/>
    </i>
    <i>
      <x v="10"/>
      <x v="38"/>
      <x v="1"/>
    </i>
    <i>
      <x v="11"/>
      <x v="78"/>
      <x/>
    </i>
    <i>
      <x v="12"/>
      <x v="39"/>
      <x/>
    </i>
    <i>
      <x v="13"/>
      <x v="102"/>
      <x v="1"/>
    </i>
    <i>
      <x v="14"/>
      <x v="112"/>
      <x v="1"/>
    </i>
    <i>
      <x v="15"/>
      <x v="113"/>
      <x v="1"/>
    </i>
    <i>
      <x v="16"/>
      <x v="83"/>
      <x v="1"/>
    </i>
    <i>
      <x v="17"/>
      <x v="105"/>
      <x/>
    </i>
    <i>
      <x v="18"/>
      <x v="50"/>
      <x/>
    </i>
    <i>
      <x v="19"/>
      <x v="51"/>
      <x/>
    </i>
    <i>
      <x v="20"/>
      <x v="32"/>
      <x v="1"/>
    </i>
    <i>
      <x v="21"/>
      <x v="58"/>
      <x/>
    </i>
    <i>
      <x v="22"/>
      <x v="59"/>
      <x/>
    </i>
    <i>
      <x v="23"/>
      <x v="54"/>
      <x/>
    </i>
    <i>
      <x v="24"/>
      <x v="40"/>
      <x v="1"/>
    </i>
    <i>
      <x v="25"/>
      <x v="96"/>
      <x v="1"/>
    </i>
    <i>
      <x v="26"/>
      <x v="56"/>
      <x/>
    </i>
    <i>
      <x v="27"/>
      <x v="87"/>
      <x v="1"/>
    </i>
    <i>
      <x v="28"/>
      <x v="26"/>
      <x v="1"/>
    </i>
    <i>
      <x v="29"/>
      <x v="72"/>
      <x/>
    </i>
    <i>
      <x v="30"/>
      <x v="60"/>
      <x/>
    </i>
    <i>
      <x v="31"/>
      <x v="101"/>
      <x/>
    </i>
    <i>
      <x v="32"/>
      <x v="48"/>
      <x/>
    </i>
    <i>
      <x v="33"/>
      <x v="108"/>
      <x v="1"/>
    </i>
    <i>
      <x v="34"/>
      <x v="25"/>
      <x v="1"/>
    </i>
    <i>
      <x v="35"/>
      <x v="35"/>
      <x v="1"/>
    </i>
    <i>
      <x v="36"/>
      <x v="12"/>
      <x v="1"/>
    </i>
    <i>
      <x v="37"/>
      <x v="80"/>
      <x/>
    </i>
    <i>
      <x v="38"/>
      <x v="70"/>
      <x/>
    </i>
    <i>
      <x v="39"/>
      <x v="41"/>
      <x v="1"/>
    </i>
    <i>
      <x v="40"/>
      <x v="29"/>
      <x v="1"/>
    </i>
    <i>
      <x v="41"/>
      <x v="79"/>
      <x/>
    </i>
    <i>
      <x v="42"/>
      <x v="109"/>
      <x v="1"/>
    </i>
    <i>
      <x v="43"/>
      <x v="77"/>
      <x/>
    </i>
    <i>
      <x v="44"/>
      <x v="34"/>
      <x v="1"/>
    </i>
    <i>
      <x v="45"/>
      <x v="17"/>
      <x v="1"/>
    </i>
    <i>
      <x v="46"/>
      <x v="86"/>
      <x/>
    </i>
    <i>
      <x v="47"/>
      <x v="61"/>
      <x/>
    </i>
    <i>
      <x v="48"/>
      <x v="19"/>
      <x v="1"/>
    </i>
    <i>
      <x v="49"/>
      <x v="52"/>
      <x/>
    </i>
    <i>
      <x v="50"/>
      <x v="71"/>
      <x/>
    </i>
    <i>
      <x v="51"/>
      <x v="91"/>
      <x v="1"/>
    </i>
    <i>
      <x v="52"/>
      <x v="75"/>
      <x/>
    </i>
    <i>
      <x v="53"/>
      <x v="53"/>
      <x/>
    </i>
    <i>
      <x v="54"/>
      <x v="10"/>
      <x/>
    </i>
    <i>
      <x v="55"/>
      <x v="62"/>
      <x/>
    </i>
    <i>
      <x v="56"/>
      <x v="82"/>
      <x v="1"/>
    </i>
    <i>
      <x v="57"/>
      <x v="3"/>
      <x/>
    </i>
    <i>
      <x v="58"/>
      <x v="16"/>
      <x v="1"/>
    </i>
    <i>
      <x v="59"/>
      <x v="22"/>
      <x v="1"/>
    </i>
    <i>
      <x v="60"/>
      <x v="30"/>
      <x v="1"/>
    </i>
    <i>
      <x v="61"/>
      <x v="81"/>
      <x v="1"/>
    </i>
    <i>
      <x v="62"/>
      <x v="97"/>
      <x v="1"/>
    </i>
    <i>
      <x v="63"/>
      <x v="114"/>
      <x v="1"/>
    </i>
    <i>
      <x v="64"/>
      <x v="115"/>
      <x v="1"/>
    </i>
    <i>
      <x v="65"/>
      <x v="42"/>
      <x/>
    </i>
    <i>
      <x v="66"/>
      <x v="89"/>
      <x/>
    </i>
    <i>
      <x v="67"/>
      <x v="98"/>
      <x/>
    </i>
    <i>
      <x v="68"/>
      <x v="99"/>
      <x/>
    </i>
    <i>
      <x v="69"/>
      <x v="49"/>
      <x/>
    </i>
    <i>
      <x v="70"/>
      <x v="8"/>
      <x v="1"/>
    </i>
    <i>
      <x v="71"/>
      <x/>
      <x v="1"/>
    </i>
    <i>
      <x v="72"/>
      <x v="43"/>
      <x/>
    </i>
    <i>
      <x v="73"/>
      <x v="63"/>
      <x/>
    </i>
    <i>
      <x v="74"/>
      <x v="37"/>
      <x v="1"/>
    </i>
    <i>
      <x v="75"/>
      <x v="36"/>
      <x v="1"/>
    </i>
    <i>
      <x v="76"/>
      <x v="11"/>
      <x v="1"/>
    </i>
    <i>
      <x v="77"/>
      <x v="7"/>
      <x v="1"/>
    </i>
    <i>
      <x v="78"/>
      <x v="2"/>
      <x v="1"/>
    </i>
    <i>
      <x v="79"/>
      <x v="104"/>
      <x/>
    </i>
    <i>
      <x v="80"/>
      <x v="110"/>
      <x v="1"/>
    </i>
    <i>
      <x v="81"/>
      <x v="111"/>
      <x v="1"/>
    </i>
    <i>
      <x v="82"/>
      <x v="44"/>
      <x v="1"/>
    </i>
    <i>
      <x v="83"/>
      <x v="103"/>
      <x v="1"/>
    </i>
    <i>
      <x v="84"/>
      <x v="55"/>
      <x v="1"/>
    </i>
    <i>
      <x v="85"/>
      <x v="92"/>
      <x v="1"/>
    </i>
    <i>
      <x v="86"/>
      <x v="28"/>
      <x v="1"/>
    </i>
    <i>
      <x v="87"/>
      <x v="64"/>
      <x/>
    </i>
    <i>
      <x v="88"/>
      <x v="67"/>
      <x/>
    </i>
    <i>
      <x v="89"/>
      <x v="18"/>
      <x v="1"/>
    </i>
    <i>
      <x v="90"/>
      <x v="95"/>
      <x/>
    </i>
    <i>
      <x v="91"/>
      <x v="93"/>
      <x v="1"/>
    </i>
    <i>
      <x v="92"/>
      <x v="65"/>
      <x/>
    </i>
    <i>
      <x v="93"/>
      <x v="20"/>
      <x v="1"/>
    </i>
    <i>
      <x v="94"/>
      <x v="13"/>
      <x v="1"/>
    </i>
    <i>
      <x v="95"/>
      <x v="1"/>
      <x v="1"/>
    </i>
    <i>
      <x v="96"/>
      <x v="76"/>
      <x/>
    </i>
    <i>
      <x v="97"/>
      <x v="4"/>
      <x v="1"/>
    </i>
    <i>
      <x v="98"/>
      <x v="45"/>
      <x v="1"/>
    </i>
    <i>
      <x v="99"/>
      <x v="100"/>
      <x/>
    </i>
    <i>
      <x v="100"/>
      <x v="46"/>
      <x/>
    </i>
    <i>
      <x v="101"/>
      <x v="69"/>
      <x/>
    </i>
    <i>
      <x v="102"/>
      <x v="85"/>
      <x v="1"/>
    </i>
    <i>
      <x v="103"/>
      <x v="6"/>
      <x/>
    </i>
    <i>
      <x v="104"/>
      <x v="66"/>
      <x/>
    </i>
    <i>
      <x v="105"/>
      <x v="47"/>
      <x v="1"/>
    </i>
    <i>
      <x v="106"/>
      <x v="90"/>
      <x v="1"/>
    </i>
    <i>
      <x v="107"/>
      <x v="116"/>
      <x v="1"/>
    </i>
    <i>
      <x v="108"/>
      <x v="57"/>
      <x v="1"/>
    </i>
    <i>
      <x v="109"/>
      <x v="94"/>
      <x v="1"/>
    </i>
    <i>
      <x v="110"/>
      <x v="74"/>
      <x/>
    </i>
    <i>
      <x v="111"/>
      <x v="73"/>
      <x/>
    </i>
    <i>
      <x v="112"/>
      <x v="9"/>
      <x v="1"/>
    </i>
    <i>
      <x v="113"/>
      <x v="27"/>
      <x v="1"/>
    </i>
    <i>
      <x v="114"/>
      <x v="84"/>
      <x v="1"/>
    </i>
    <i>
      <x v="115"/>
      <x v="106"/>
      <x/>
    </i>
    <i>
      <x v="116"/>
      <x v="107"/>
      <x/>
    </i>
  </rowItems>
  <colItems count="1">
    <i/>
  </colItems>
  <pageFields count="1">
    <pageField fld="35"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38:F40" firstHeaderRow="1" firstDataRow="2" firstDataCol="1" rowPageCount="1" colPageCount="1"/>
  <pivotFields count="36">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showAll="0"/>
    <pivotField showAll="0"/>
    <pivotField showAll="0">
      <items count="118">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71"/>
        <item x="42"/>
        <item x="6"/>
        <item x="102"/>
        <item x="24"/>
        <item x="43"/>
        <item x="83"/>
        <item x="44"/>
        <item x="18"/>
        <item x="75"/>
        <item x="90"/>
        <item x="7"/>
        <item x="25"/>
        <item x="53"/>
        <item x="8"/>
        <item x="103"/>
        <item x="45"/>
        <item x="54"/>
        <item x="100"/>
        <item x="9"/>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13"/>
        <item x="28"/>
        <item x="72"/>
        <item x="65"/>
        <item x="46"/>
        <item x="66"/>
        <item x="112"/>
        <item x="113"/>
        <item x="99"/>
        <item x="14"/>
        <item x="37"/>
        <item x="93"/>
        <item x="15"/>
        <item x="114"/>
        <item x="115"/>
        <item x="69"/>
        <item x="116"/>
        <item x="16"/>
        <item x="17"/>
        <item x="70"/>
        <item x="30"/>
        <item x="39"/>
        <item x="47"/>
        <item x="91"/>
        <item x="0"/>
        <item x="34"/>
        <item x="36"/>
        <item x="38"/>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1"/>
        <item x="0"/>
        <item x="4"/>
        <item x="2"/>
        <item x="3"/>
        <item x="5"/>
      </items>
    </pivotField>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Items count="1">
    <i/>
  </rowItems>
  <colFields count="1">
    <field x="26"/>
  </colFields>
  <colItems count="5">
    <i>
      <x v="1"/>
    </i>
    <i>
      <x v="2"/>
    </i>
    <i>
      <x v="3"/>
    </i>
    <i>
      <x v="4"/>
    </i>
    <i t="grand">
      <x/>
    </i>
  </colItems>
  <pageFields count="1">
    <pageField fld="0" hier="-1"/>
  </pageFields>
  <dataFields count="1">
    <dataField name="Sum of Total" fld="17" baseField="23" baseItem="0"/>
  </dataFields>
  <formats count="3">
    <format dxfId="678">
      <pivotArea type="all" dataOnly="0" outline="0" fieldPosition="0"/>
    </format>
    <format dxfId="677">
      <pivotArea field="0" type="button" dataOnly="0" labelOnly="1" outline="0" axis="axisPage" fieldPosition="0"/>
    </format>
    <format dxfId="676">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6:D24" firstHeaderRow="0" firstDataRow="1" firstDataCol="1" rowPageCount="1" colPageCount="1"/>
  <pivotFields count="36">
    <pivotField axis="axisRow" multipleItemSelectionAllowed="1" showAll="0">
      <items count="3">
        <item x="1"/>
        <item x="0"/>
        <item t="default"/>
      </items>
    </pivotField>
    <pivotField axis="axisPage" subtotalTop="0" multipleItemSelectionAllowed="1" showAll="0">
      <items count="2">
        <item x="0"/>
        <item t="default"/>
      </items>
    </pivotField>
    <pivotField showAll="0" defaultSubtotal="0"/>
    <pivotField showAll="0" defaultSubtotal="0"/>
    <pivotField showAll="0" defaultSubtotal="0"/>
    <pivotField axis="axisRow" subtotalTop="0" showAll="0">
      <items count="11">
        <item x="0"/>
        <item x="2"/>
        <item x="4"/>
        <item x="3"/>
        <item x="5"/>
        <item x="7"/>
        <item x="8"/>
        <item x="9"/>
        <item x="1"/>
        <item x="6"/>
        <item t="default"/>
      </items>
    </pivotField>
    <pivotField showAll="0" defaultSubtotal="0"/>
    <pivotField showAll="0" defaultSubtotal="0"/>
    <pivotField showAll="0" defaultSubtotal="0"/>
    <pivotField showAll="0" defaultSubtotal="0"/>
    <pivotField showAll="0" defaultSubtotal="0"/>
    <pivotField dataField="1" subtotalTop="0" showAll="0">
      <items count="118">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71"/>
        <item x="42"/>
        <item x="6"/>
        <item x="102"/>
        <item x="24"/>
        <item x="43"/>
        <item x="83"/>
        <item x="44"/>
        <item x="18"/>
        <item x="75"/>
        <item x="90"/>
        <item x="7"/>
        <item x="25"/>
        <item x="53"/>
        <item x="8"/>
        <item x="103"/>
        <item x="45"/>
        <item x="54"/>
        <item x="100"/>
        <item x="9"/>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13"/>
        <item x="28"/>
        <item x="72"/>
        <item x="65"/>
        <item x="46"/>
        <item x="66"/>
        <item x="112"/>
        <item x="113"/>
        <item x="99"/>
        <item x="14"/>
        <item x="37"/>
        <item x="93"/>
        <item x="15"/>
        <item x="114"/>
        <item x="115"/>
        <item x="69"/>
        <item x="116"/>
        <item x="16"/>
        <item x="17"/>
        <item x="70"/>
        <item x="30"/>
        <item x="39"/>
        <item x="47"/>
        <item x="91"/>
        <item x="0"/>
        <item x="34"/>
        <item x="36"/>
        <item x="38"/>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0"/>
    <field x="5"/>
  </rowFields>
  <rowItems count="18">
    <i>
      <x/>
    </i>
    <i r="1">
      <x v="2"/>
    </i>
    <i r="1">
      <x v="3"/>
    </i>
    <i r="1">
      <x v="4"/>
    </i>
    <i r="1">
      <x v="5"/>
    </i>
    <i r="1">
      <x v="8"/>
    </i>
    <i>
      <x v="1"/>
    </i>
    <i r="1">
      <x/>
    </i>
    <i r="1">
      <x v="1"/>
    </i>
    <i r="1">
      <x v="2"/>
    </i>
    <i r="1">
      <x v="3"/>
    </i>
    <i r="1">
      <x v="4"/>
    </i>
    <i r="1">
      <x v="5"/>
    </i>
    <i r="1">
      <x v="6"/>
    </i>
    <i r="1">
      <x v="7"/>
    </i>
    <i r="1">
      <x v="8"/>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684">
      <pivotArea type="all" dataOnly="0" outline="0" fieldPosition="0"/>
    </format>
    <format dxfId="683">
      <pivotArea field="1" type="button" dataOnly="0" labelOnly="1" outline="0" axis="axisPage" fieldPosition="0"/>
    </format>
    <format dxfId="682">
      <pivotArea dataOnly="0" labelOnly="1" outline="0" fieldPosition="0">
        <references count="1">
          <reference field="1" count="0"/>
        </references>
      </pivotArea>
    </format>
    <format dxfId="681">
      <pivotArea type="all" dataOnly="0" outline="0" fieldPosition="0"/>
    </format>
    <format dxfId="680">
      <pivotArea field="1" type="button" dataOnly="0" labelOnly="1" outline="0" axis="axisPage" fieldPosition="0"/>
    </format>
    <format dxfId="679">
      <pivotArea dataOnly="0" labelOnly="1" outline="0" fieldPosition="0">
        <references count="1">
          <reference field="1" count="0"/>
        </references>
      </pivotArea>
    </format>
  </formats>
  <chartFormats count="3">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51:F79" firstHeaderRow="1" firstDataRow="2" firstDataCol="1" rowPageCount="2" colPageCount="1"/>
  <pivotFields count="36">
    <pivotField axis="axisPage" multipleItemSelectionAllowed="1" showAll="0">
      <items count="3">
        <item h="1" x="1"/>
        <item x="0"/>
        <item t="default"/>
      </items>
    </pivotField>
    <pivotField showAll="0"/>
    <pivotField showAll="0"/>
    <pivotField showAll="0"/>
    <pivotField showAll="0"/>
    <pivotField axis="axisRow" multipleItemSelectionAllowed="1" showAll="0">
      <items count="11">
        <item h="1" x="0"/>
        <item h="1" x="2"/>
        <item h="1" x="4"/>
        <item h="1" x="3"/>
        <item h="1" x="5"/>
        <item x="7"/>
        <item h="1" x="8"/>
        <item h="1" x="9"/>
        <item x="1"/>
        <item x="6"/>
        <item t="default"/>
      </items>
    </pivotField>
    <pivotField showAll="0"/>
    <pivotField showAll="0"/>
    <pivotField showAll="0"/>
    <pivotField showAll="0"/>
    <pivotField showAll="0"/>
    <pivotField axis="axisRow" showAll="0">
      <items count="118">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71"/>
        <item x="42"/>
        <item x="6"/>
        <item x="102"/>
        <item x="24"/>
        <item x="43"/>
        <item x="83"/>
        <item x="44"/>
        <item x="18"/>
        <item x="75"/>
        <item x="90"/>
        <item x="7"/>
        <item x="25"/>
        <item x="53"/>
        <item x="8"/>
        <item x="103"/>
        <item x="45"/>
        <item x="54"/>
        <item x="100"/>
        <item x="9"/>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13"/>
        <item x="28"/>
        <item x="72"/>
        <item x="65"/>
        <item x="46"/>
        <item x="66"/>
        <item x="112"/>
        <item x="113"/>
        <item x="99"/>
        <item x="14"/>
        <item x="37"/>
        <item x="93"/>
        <item x="15"/>
        <item x="114"/>
        <item x="115"/>
        <item x="69"/>
        <item x="116"/>
        <item x="16"/>
        <item x="17"/>
        <item x="70"/>
        <item x="30"/>
        <item x="39"/>
        <item x="47"/>
        <item x="91"/>
        <item x="0"/>
        <item x="34"/>
        <item x="36"/>
        <item x="38"/>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4">
        <item x="0"/>
        <item x="3"/>
        <item h="1" x="2"/>
        <item h="1" x="1"/>
      </items>
    </pivotField>
    <pivotField showAll="0" defaultSubtotal="0"/>
    <pivotField showAll="0"/>
    <pivotField showAll="0"/>
    <pivotField showAll="0"/>
    <pivotField axis="axisCol" showAll="0" defaultSubtotal="0">
      <items count="6">
        <item x="1"/>
        <item x="0"/>
        <item x="4"/>
        <item x="2"/>
        <item x="3"/>
        <item x="5"/>
      </items>
    </pivotField>
    <pivotField showAll="0"/>
    <pivotField showAll="0"/>
    <pivotField showAll="0"/>
    <pivotField showAll="0"/>
    <pivotField numFmtId="15" showAll="0"/>
    <pivotField showAll="0"/>
    <pivotField showAll="0" defaultSubtotal="0"/>
    <pivotField numFmtId="9" showAll="0" defaultSubtotal="0"/>
    <pivotField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27">
    <i>
      <x v="5"/>
    </i>
    <i r="1">
      <x v="4"/>
    </i>
    <i r="1">
      <x v="9"/>
    </i>
    <i r="1">
      <x v="44"/>
    </i>
    <i r="1">
      <x v="56"/>
    </i>
    <i r="1">
      <x v="87"/>
    </i>
    <i>
      <x v="8"/>
    </i>
    <i r="1">
      <x v="10"/>
    </i>
    <i r="1">
      <x v="14"/>
    </i>
    <i r="1">
      <x v="15"/>
    </i>
    <i r="1">
      <x v="24"/>
    </i>
    <i r="1">
      <x v="38"/>
    </i>
    <i r="1">
      <x v="50"/>
    </i>
    <i r="1">
      <x v="60"/>
    </i>
    <i r="1">
      <x v="61"/>
    </i>
    <i r="1">
      <x v="62"/>
    </i>
    <i r="1">
      <x v="78"/>
    </i>
    <i r="1">
      <x v="79"/>
    </i>
    <i r="1">
      <x v="80"/>
    </i>
    <i r="1">
      <x v="82"/>
    </i>
    <i r="1">
      <x v="83"/>
    </i>
    <i r="1">
      <x v="95"/>
    </i>
    <i r="1">
      <x v="102"/>
    </i>
    <i>
      <x v="9"/>
    </i>
    <i r="1">
      <x v="35"/>
    </i>
    <i r="1">
      <x v="91"/>
    </i>
    <i t="grand">
      <x/>
    </i>
  </rowItems>
  <colFields count="1">
    <field x="26"/>
  </colFields>
  <colItems count="5">
    <i>
      <x v="1"/>
    </i>
    <i>
      <x v="2"/>
    </i>
    <i>
      <x v="3"/>
    </i>
    <i>
      <x v="4"/>
    </i>
    <i t="grand">
      <x/>
    </i>
  </colItems>
  <pageFields count="2">
    <pageField fld="0" hier="-1"/>
    <pageField fld="21" hier="-1"/>
  </pageFields>
  <dataFields count="1">
    <dataField name="Sum of Total" fld="17" baseField="5" baseItem="0" numFmtId="3"/>
  </dataFields>
  <formats count="5">
    <format dxfId="689">
      <pivotArea type="all" dataOnly="0" outline="0" fieldPosition="0"/>
    </format>
    <format dxfId="688">
      <pivotArea field="0" type="button" dataOnly="0" labelOnly="1" outline="0" axis="axisPage" fieldPosition="0"/>
    </format>
    <format dxfId="687">
      <pivotArea dataOnly="0" labelOnly="1" outline="0" fieldPosition="0">
        <references count="1">
          <reference field="0" count="0"/>
        </references>
      </pivotArea>
    </format>
    <format dxfId="686">
      <pivotArea field="21" type="button" dataOnly="0" labelOnly="1" outline="0" axis="axisPage" fieldPosition="1"/>
    </format>
    <format dxfId="685">
      <pivotArea dataOnly="0" labelOnly="1" outline="0" fieldPosition="0">
        <references count="1">
          <reference field="21" count="0"/>
        </references>
      </pivotArea>
    </format>
  </formats>
  <chartFormats count="43">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2" series="1">
      <pivotArea type="data" outline="0" fieldPosition="0">
        <references count="2">
          <reference field="4294967294" count="1" selected="0">
            <x v="0"/>
          </reference>
          <reference field="26" count="1" selected="0">
            <x v="3"/>
          </reference>
        </references>
      </pivotArea>
    </chartFormat>
    <chartFormat chart="10" format="13">
      <pivotArea type="data" outline="0" fieldPosition="0">
        <references count="4">
          <reference field="4294967294" count="1" selected="0">
            <x v="0"/>
          </reference>
          <reference field="5" count="1" selected="0">
            <x v="5"/>
          </reference>
          <reference field="11" count="1" selected="0">
            <x v="87"/>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4"/>
          </reference>
        </references>
      </pivotArea>
    </chartFormat>
    <chartFormat chart="10" format="15" series="1">
      <pivotArea type="data" outline="0" fieldPosition="0">
        <references count="3">
          <reference field="4294967294" count="1" selected="0">
            <x v="0"/>
          </reference>
          <reference field="5" count="1" selected="0">
            <x v="5"/>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5"/>
          </reference>
          <reference field="11" count="1" selected="0">
            <x v="44"/>
          </reference>
        </references>
      </pivotArea>
    </chartFormat>
    <chartFormat chart="10" format="17" series="1">
      <pivotArea type="data" outline="0" fieldPosition="0">
        <references count="3">
          <reference field="4294967294" count="1" selected="0">
            <x v="0"/>
          </reference>
          <reference field="5" count="1" selected="0">
            <x v="5"/>
          </reference>
          <reference field="11" count="1" selected="0">
            <x v="56"/>
          </reference>
        </references>
      </pivotArea>
    </chartFormat>
    <chartFormat chart="10" format="18" series="1">
      <pivotArea type="data" outline="0" fieldPosition="0">
        <references count="3">
          <reference field="4294967294" count="1" selected="0">
            <x v="0"/>
          </reference>
          <reference field="5" count="1" selected="0">
            <x v="8"/>
          </reference>
          <reference field="11" count="1" selected="0">
            <x v="105"/>
          </reference>
        </references>
      </pivotArea>
    </chartFormat>
    <chartFormat chart="10" format="19" series="1">
      <pivotArea type="data" outline="0" fieldPosition="0">
        <references count="3">
          <reference field="4294967294" count="1" selected="0">
            <x v="0"/>
          </reference>
          <reference field="5" count="1" selected="0">
            <x v="8"/>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8"/>
          </reference>
          <reference field="11" count="1" selected="0">
            <x v="82"/>
          </reference>
        </references>
      </pivotArea>
    </chartFormat>
    <chartFormat chart="10" format="21" series="1">
      <pivotArea type="data" outline="0" fieldPosition="0">
        <references count="3">
          <reference field="4294967294" count="1" selected="0">
            <x v="0"/>
          </reference>
          <reference field="5" count="1" selected="0">
            <x v="8"/>
          </reference>
          <reference field="11" count="1" selected="0">
            <x v="83"/>
          </reference>
        </references>
      </pivotArea>
    </chartFormat>
    <chartFormat chart="10" format="22" series="1">
      <pivotArea type="data" outline="0" fieldPosition="0">
        <references count="3">
          <reference field="4294967294" count="1" selected="0">
            <x v="0"/>
          </reference>
          <reference field="5" count="1" selected="0">
            <x v="8"/>
          </reference>
          <reference field="11" count="1" selected="0">
            <x v="78"/>
          </reference>
        </references>
      </pivotArea>
    </chartFormat>
    <chartFormat chart="10" format="23" series="1">
      <pivotArea type="data" outline="0" fieldPosition="0">
        <references count="3">
          <reference field="4294967294" count="1" selected="0">
            <x v="0"/>
          </reference>
          <reference field="5" count="1" selected="0">
            <x v="8"/>
          </reference>
          <reference field="11" count="1" selected="0">
            <x v="79"/>
          </reference>
        </references>
      </pivotArea>
    </chartFormat>
    <chartFormat chart="10" format="24" series="1">
      <pivotArea type="data" outline="0" fieldPosition="0">
        <references count="3">
          <reference field="4294967294" count="1" selected="0">
            <x v="0"/>
          </reference>
          <reference field="5" count="1" selected="0">
            <x v="8"/>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8"/>
          </reference>
          <reference field="11" count="1" selected="0">
            <x v="103"/>
          </reference>
        </references>
      </pivotArea>
    </chartFormat>
    <chartFormat chart="10" format="26" series="1">
      <pivotArea type="data" outline="0" fieldPosition="0">
        <references count="3">
          <reference field="4294967294" count="1" selected="0">
            <x v="0"/>
          </reference>
          <reference field="5" count="1" selected="0">
            <x v="8"/>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8"/>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8"/>
          </reference>
          <reference field="11" count="1" selected="0">
            <x v="60"/>
          </reference>
        </references>
      </pivotArea>
    </chartFormat>
    <chartFormat chart="10" format="29" series="1">
      <pivotArea type="data" outline="0" fieldPosition="0">
        <references count="3">
          <reference field="4294967294" count="1" selected="0">
            <x v="0"/>
          </reference>
          <reference field="5" count="1" selected="0">
            <x v="8"/>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8"/>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8"/>
          </reference>
          <reference field="11" count="1" selected="0">
            <x v="96"/>
          </reference>
        </references>
      </pivotArea>
    </chartFormat>
    <chartFormat chart="10" format="32" series="1">
      <pivotArea type="data" outline="0" fieldPosition="0">
        <references count="3">
          <reference field="4294967294" count="1" selected="0">
            <x v="0"/>
          </reference>
          <reference field="5" count="1" selected="0">
            <x v="8"/>
          </reference>
          <reference field="11" count="1" selected="0">
            <x v="102"/>
          </reference>
        </references>
      </pivotArea>
    </chartFormat>
    <chartFormat chart="10" format="33" series="1">
      <pivotArea type="data" outline="0" fieldPosition="0">
        <references count="3">
          <reference field="4294967294" count="1" selected="0">
            <x v="0"/>
          </reference>
          <reference field="5" count="1" selected="0">
            <x v="8"/>
          </reference>
          <reference field="11" count="1" selected="0">
            <x v="95"/>
          </reference>
        </references>
      </pivotArea>
    </chartFormat>
    <chartFormat chart="10" format="34" series="1">
      <pivotArea type="data" outline="0" fieldPosition="0">
        <references count="3">
          <reference field="4294967294" count="1" selected="0">
            <x v="0"/>
          </reference>
          <reference field="5" count="1" selected="0">
            <x v="8"/>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8"/>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8"/>
          </reference>
          <reference field="11" count="1" selected="0">
            <x v="62"/>
          </reference>
        </references>
      </pivotArea>
    </chartFormat>
    <chartFormat chart="10" format="37" series="1">
      <pivotArea type="data" outline="0" fieldPosition="0">
        <references count="3">
          <reference field="4294967294" count="1" selected="0">
            <x v="0"/>
          </reference>
          <reference field="5" count="1" selected="0">
            <x v="8"/>
          </reference>
          <reference field="11" count="1" selected="0">
            <x v="61"/>
          </reference>
        </references>
      </pivotArea>
    </chartFormat>
    <chartFormat chart="10" format="38" series="1">
      <pivotArea type="data" outline="0" fieldPosition="0">
        <references count="3">
          <reference field="4294967294" count="1" selected="0">
            <x v="0"/>
          </reference>
          <reference field="5" count="1" selected="0">
            <x v="8"/>
          </reference>
          <reference field="11" count="1" selected="0">
            <x v="80"/>
          </reference>
        </references>
      </pivotArea>
    </chartFormat>
    <chartFormat chart="10" format="41" series="1">
      <pivotArea type="data" outline="0" fieldPosition="0">
        <references count="3">
          <reference field="4294967294" count="1" selected="0">
            <x v="0"/>
          </reference>
          <reference field="5" count="1" selected="0">
            <x v="5"/>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5"/>
          </reference>
          <reference field="11" count="1" selected="0">
            <x v="87"/>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2" series="1">
      <pivotArea type="data" outline="0" fieldPosition="0">
        <references count="2">
          <reference field="4294967294" count="1" selected="0">
            <x v="0"/>
          </reference>
          <reference field="26" count="1" selected="0">
            <x v="3"/>
          </reference>
        </references>
      </pivotArea>
    </chartFormat>
    <chartFormat chart="11" format="3" series="1">
      <pivotArea type="data" outline="0" fieldPosition="0">
        <references count="2">
          <reference field="4294967294" count="1" selected="0">
            <x v="0"/>
          </reference>
          <reference field="26" count="1" selected="0">
            <x v="4"/>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5" series="1">
      <pivotArea type="data" outline="0" fieldPosition="0">
        <references count="2">
          <reference field="4294967294" count="1" selected="0">
            <x v="0"/>
          </reference>
          <reference field="26" count="1" selected="0">
            <x v="3"/>
          </reference>
        </references>
      </pivotArea>
    </chartFormat>
    <chartFormat chart="13" format="26" series="1">
      <pivotArea type="data" outline="0" fieldPosition="0">
        <references count="2">
          <reference field="4294967294" count="1" selected="0">
            <x v="0"/>
          </reference>
          <reference field="26"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89:I117" firstHeaderRow="1" firstDataRow="3" firstDataCol="1" rowPageCount="2" colPageCount="1"/>
  <pivotFields count="36">
    <pivotField axis="axisPage" multipleItemSelectionAllowed="1" showAll="0">
      <items count="3">
        <item h="1" x="1"/>
        <item x="0"/>
        <item t="default"/>
      </items>
    </pivotField>
    <pivotField showAll="0"/>
    <pivotField showAll="0"/>
    <pivotField showAll="0"/>
    <pivotField showAll="0"/>
    <pivotField axis="axisRow" showAll="0">
      <items count="11">
        <item h="1" x="0"/>
        <item x="2"/>
        <item h="1" x="4"/>
        <item x="3"/>
        <item x="5"/>
        <item h="1" x="7"/>
        <item h="1" x="8"/>
        <item h="1" x="9"/>
        <item h="1" x="1"/>
        <item h="1" x="6"/>
        <item t="default"/>
      </items>
    </pivotField>
    <pivotField showAll="0"/>
    <pivotField showAll="0"/>
    <pivotField showAll="0"/>
    <pivotField showAll="0"/>
    <pivotField showAll="0"/>
    <pivotField axis="axisRow" showAll="0" sortType="ascending">
      <items count="118">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71"/>
        <item x="42"/>
        <item x="6"/>
        <item x="102"/>
        <item x="24"/>
        <item x="43"/>
        <item x="83"/>
        <item x="44"/>
        <item x="18"/>
        <item x="75"/>
        <item x="90"/>
        <item x="7"/>
        <item x="25"/>
        <item x="53"/>
        <item x="8"/>
        <item x="103"/>
        <item x="45"/>
        <item x="54"/>
        <item x="100"/>
        <item x="9"/>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13"/>
        <item x="28"/>
        <item x="72"/>
        <item x="65"/>
        <item x="46"/>
        <item x="66"/>
        <item x="112"/>
        <item x="113"/>
        <item x="99"/>
        <item x="14"/>
        <item x="37"/>
        <item x="93"/>
        <item x="15"/>
        <item x="114"/>
        <item x="115"/>
        <item x="69"/>
        <item x="116"/>
        <item x="16"/>
        <item x="17"/>
        <item x="70"/>
        <item x="30"/>
        <item x="39"/>
        <item x="47"/>
        <item x="91"/>
        <item x="0"/>
        <item x="34"/>
        <item x="36"/>
        <item x="3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4">
        <item x="0"/>
        <item x="3"/>
        <item x="2"/>
        <item x="1"/>
      </items>
    </pivotField>
    <pivotField showAll="0" defaultSubtotal="0"/>
    <pivotField showAll="0"/>
    <pivotField axis="axisCol" showAll="0">
      <items count="6">
        <item x="3"/>
        <item x="0"/>
        <item x="1"/>
        <item x="4"/>
        <item x="2"/>
        <item t="default"/>
      </items>
    </pivotField>
    <pivotField showAl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4">
        <item x="0"/>
        <item n="Zone 1"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26">
    <i>
      <x v="1"/>
    </i>
    <i r="1">
      <x v="2"/>
    </i>
    <i r="1">
      <x v="1"/>
    </i>
    <i r="1">
      <x v="47"/>
    </i>
    <i r="1">
      <x v="90"/>
    </i>
    <i r="1">
      <x v="57"/>
    </i>
    <i r="1">
      <x v="39"/>
    </i>
    <i r="1">
      <x v="5"/>
    </i>
    <i r="1">
      <x v="109"/>
    </i>
    <i r="1">
      <x v="28"/>
    </i>
    <i r="1">
      <x v="84"/>
    </i>
    <i r="1">
      <x v="34"/>
    </i>
    <i>
      <x v="3"/>
    </i>
    <i r="1">
      <x v="81"/>
    </i>
    <i r="1">
      <x v="69"/>
    </i>
    <i r="1">
      <x v="8"/>
    </i>
    <i r="1">
      <x v="76"/>
    </i>
    <i r="1">
      <x v="75"/>
    </i>
    <i r="1">
      <x v="92"/>
    </i>
    <i r="1">
      <x v="94"/>
    </i>
    <i>
      <x v="4"/>
    </i>
    <i r="1">
      <x v="74"/>
    </i>
    <i r="1">
      <x v="104"/>
    </i>
    <i r="1">
      <x v="68"/>
    </i>
    <i r="1">
      <x v="108"/>
    </i>
    <i t="grand">
      <x/>
    </i>
  </rowItems>
  <colFields count="2">
    <field x="24"/>
    <field x="21"/>
  </colFields>
  <colItems count="8">
    <i>
      <x/>
      <x v="1"/>
    </i>
    <i t="default">
      <x/>
    </i>
    <i>
      <x v="1"/>
      <x v="1"/>
    </i>
    <i t="default">
      <x v="1"/>
    </i>
    <i>
      <x v="4"/>
      <x v="1"/>
    </i>
    <i r="1">
      <x v="2"/>
    </i>
    <i t="default">
      <x v="4"/>
    </i>
    <i t="grand">
      <x/>
    </i>
  </colItems>
  <pageFields count="2">
    <pageField fld="0" hier="-1"/>
    <pageField fld="35" hier="-1"/>
  </pageFields>
  <dataFields count="1">
    <dataField name="Sum of Total" fld="17" baseField="11" baseItem="1" numFmtId="3"/>
  </dataFields>
  <formats count="5">
    <format dxfId="694">
      <pivotArea field="0" type="button" dataOnly="0" labelOnly="1" outline="0" axis="axisPage" fieldPosition="0"/>
    </format>
    <format dxfId="693">
      <pivotArea dataOnly="0" labelOnly="1" outline="0" fieldPosition="0">
        <references count="1">
          <reference field="0" count="0"/>
        </references>
      </pivotArea>
    </format>
    <format dxfId="692">
      <pivotArea field="35" type="button" dataOnly="0" labelOnly="1" outline="0" axis="axisPage" fieldPosition="1"/>
    </format>
    <format dxfId="691">
      <pivotArea dataOnly="0" labelOnly="1" outline="0" fieldPosition="0">
        <references count="1">
          <reference field="35" count="0"/>
        </references>
      </pivotArea>
    </format>
    <format dxfId="690">
      <pivotArea type="all" dataOnly="0" outline="0" fieldPosition="0"/>
    </format>
  </formats>
  <chartFormats count="4">
    <chartFormat chart="10" format="15" series="1">
      <pivotArea type="data" outline="0" fieldPosition="0">
        <references count="3">
          <reference field="4294967294" count="1" selected="0">
            <x v="0"/>
          </reference>
          <reference field="21" count="1" selected="0">
            <x v="1"/>
          </reference>
          <reference field="24" count="1" selected="0">
            <x v="0"/>
          </reference>
        </references>
      </pivotArea>
    </chartFormat>
    <chartFormat chart="10" format="16" series="1">
      <pivotArea type="data" outline="0" fieldPosition="0">
        <references count="3">
          <reference field="4294967294" count="1" selected="0">
            <x v="0"/>
          </reference>
          <reference field="21" count="1" selected="0">
            <x v="1"/>
          </reference>
          <reference field="24" count="1" selected="0">
            <x v="1"/>
          </reference>
        </references>
      </pivotArea>
    </chartFormat>
    <chartFormat chart="10" format="17" series="1">
      <pivotArea type="data" outline="0" fieldPosition="0">
        <references count="3">
          <reference field="4294967294" count="1" selected="0">
            <x v="0"/>
          </reference>
          <reference field="21" count="1" selected="0">
            <x v="1"/>
          </reference>
          <reference field="24" count="1" selected="0">
            <x v="4"/>
          </reference>
        </references>
      </pivotArea>
    </chartFormat>
    <chartFormat chart="10" format="18" series="1">
      <pivotArea type="data" outline="0" fieldPosition="0">
        <references count="3">
          <reference field="4294967294" count="1" selected="0">
            <x v="0"/>
          </reference>
          <reference field="21" count="1" selected="0">
            <x v="2"/>
          </reference>
          <reference field="2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86" firstHeaderRow="0" firstDataRow="1" firstDataCol="5" rowPageCount="1" colPageCount="1"/>
  <pivotFields count="36">
    <pivotField axis="axisPage" compact="0" outline="0" multipleItemSelectionAllowed="1" showAll="0" defaultSubtotal="0">
      <items count="2">
        <item h="1" x="1"/>
        <item x="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1">
        <item x="0"/>
        <item x="2"/>
        <item x="4"/>
        <item x="3"/>
        <item x="5"/>
        <item x="7"/>
        <item x="8"/>
        <item x="9"/>
        <item x="1"/>
        <item x="6"/>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7">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0"/>
        <item x="71"/>
        <item x="42"/>
        <item x="6"/>
        <item n="Khaung Doke Khar (1 &amp; 2) " x="102"/>
        <item x="24"/>
        <item x="43"/>
        <item x="83"/>
        <item x="44"/>
        <item x="18"/>
        <item x="75"/>
        <item x="90"/>
        <item x="7"/>
        <item x="25"/>
        <item x="53"/>
        <item x="8"/>
        <item x="103"/>
        <item x="45"/>
        <item x="54"/>
        <item x="100"/>
        <item x="9"/>
        <item x="34"/>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36"/>
        <item x="13"/>
        <item x="28"/>
        <item x="72"/>
        <item x="65"/>
        <item x="46"/>
        <item x="66"/>
        <item x="112"/>
        <item x="113"/>
        <item x="99"/>
        <item x="14"/>
        <item x="37"/>
        <item x="93"/>
        <item x="15"/>
        <item x="114"/>
        <item x="115"/>
        <item x="69"/>
        <item x="116"/>
        <item x="38"/>
        <item x="16"/>
        <item x="17"/>
        <item x="70"/>
        <item x="30"/>
        <item x="39"/>
        <item x="47"/>
        <item x="91"/>
      </items>
    </pivotField>
    <pivotField axis="axisRow" dataField="1" compact="0" outline="0" showAll="0" defaultSubtotal="0">
      <items count="117">
        <item x="61"/>
        <item x="65"/>
        <item x="63"/>
        <item x="29"/>
        <item x="66"/>
        <item x="60"/>
        <item x="93"/>
        <item x="62"/>
        <item x="67"/>
        <item x="70"/>
        <item x="100"/>
        <item x="68"/>
        <item x="71"/>
        <item x="72"/>
        <item x="74"/>
        <item x="73"/>
        <item x="76"/>
        <item x="75"/>
        <item x="77"/>
        <item x="25"/>
        <item x="28"/>
        <item x="19"/>
        <item x="26"/>
        <item x="21"/>
        <item x="20"/>
        <item x="23"/>
        <item x="22"/>
        <item x="30"/>
        <item x="27"/>
        <item x="24"/>
        <item x="84"/>
        <item x="81"/>
        <item x="82"/>
        <item x="80"/>
        <item x="18"/>
        <item x="0"/>
        <item x="79"/>
        <item x="78"/>
        <item x="85"/>
        <item x="48"/>
        <item x="92"/>
        <item x="102"/>
        <item x="55"/>
        <item x="59"/>
        <item x="109"/>
        <item x="112"/>
        <item x="99"/>
        <item x="114"/>
        <item x="52"/>
        <item x="97"/>
        <item x="95"/>
        <item x="96"/>
        <item x="53"/>
        <item x="54"/>
        <item x="49"/>
        <item x="110"/>
        <item x="50"/>
        <item x="116"/>
        <item x="2"/>
        <item x="3"/>
        <item x="5"/>
        <item x="7"/>
        <item x="9"/>
        <item x="10"/>
        <item x="11"/>
        <item x="13"/>
        <item x="15"/>
        <item x="12"/>
        <item x="1"/>
        <item x="14"/>
        <item x="6"/>
        <item x="8"/>
        <item x="4"/>
        <item x="17"/>
        <item x="16"/>
        <item x="45"/>
        <item x="46"/>
        <item x="44"/>
        <item x="40"/>
        <item x="43"/>
        <item x="42"/>
        <item x="35"/>
        <item x="34"/>
        <item x="31"/>
        <item x="39"/>
        <item x="37"/>
        <item x="90"/>
        <item x="32"/>
        <item x="89"/>
        <item x="56"/>
        <item x="115"/>
        <item x="103"/>
        <item x="111"/>
        <item x="36"/>
        <item x="38"/>
        <item x="94"/>
        <item x="101"/>
        <item x="104"/>
        <item x="57"/>
        <item x="58"/>
        <item x="113"/>
        <item x="51"/>
        <item x="86"/>
        <item x="64"/>
        <item x="98"/>
        <item x="83"/>
        <item x="41"/>
        <item x="47"/>
        <item x="91"/>
        <item x="33"/>
        <item x="87"/>
        <item x="88"/>
        <item x="105"/>
        <item x="106"/>
        <item x="107"/>
        <item x="108"/>
        <item x="69"/>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2"/>
        <item x="0"/>
        <item x="1"/>
      </items>
    </pivotField>
    <pivotField name="Resp. Agency" axis="axisRow" compact="0" outline="0" showAll="0" defaultSubtotal="0">
      <items count="6">
        <item x="0"/>
        <item x="4"/>
        <item x="3"/>
        <item x="2"/>
        <item x="1"/>
        <item x="5"/>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4">
        <item x="0"/>
        <item n="Zone 1" x="69"/>
        <item x="1"/>
        <item n="Priority Camps" x="68"/>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11"/>
        <item x="26"/>
        <item x="8"/>
        <item x="66"/>
        <item x="67"/>
        <item x="22"/>
        <item x="70"/>
        <item x="71"/>
        <item x="72"/>
        <item x="73"/>
      </items>
    </pivotField>
  </pivotFields>
  <rowFields count="5">
    <field x="5"/>
    <field x="11"/>
    <field x="12"/>
    <field x="28"/>
    <field x="27"/>
  </rowFields>
  <rowItems count="78">
    <i>
      <x/>
      <x v="35"/>
      <x v="35"/>
      <x/>
      <x v="1"/>
    </i>
    <i r="1">
      <x v="44"/>
      <x v="34"/>
      <x/>
      <x v="1"/>
    </i>
    <i t="default">
      <x/>
    </i>
    <i>
      <x v="1"/>
      <x v="1"/>
      <x v="21"/>
      <x/>
      <x v="1"/>
    </i>
    <i r="1">
      <x v="2"/>
      <x v="24"/>
      <x/>
      <x v="1"/>
    </i>
    <i r="1">
      <x v="5"/>
      <x v="23"/>
      <x/>
      <x v="1"/>
    </i>
    <i r="1">
      <x v="28"/>
      <x v="26"/>
      <x/>
      <x v="1"/>
    </i>
    <i r="1">
      <x v="34"/>
      <x v="25"/>
      <x/>
      <x v="1"/>
    </i>
    <i r="1">
      <x v="40"/>
      <x v="29"/>
      <x/>
      <x v="1"/>
    </i>
    <i r="1">
      <x v="48"/>
      <x v="19"/>
      <x/>
      <x v="1"/>
    </i>
    <i r="1">
      <x v="59"/>
      <x v="22"/>
      <x/>
      <x v="1"/>
    </i>
    <i r="1">
      <x v="86"/>
      <x v="28"/>
      <x/>
      <x v="1"/>
    </i>
    <i r="1">
      <x v="93"/>
      <x v="20"/>
      <x/>
      <x v="1"/>
    </i>
    <i r="1">
      <x v="113"/>
      <x v="27"/>
      <x/>
      <x v="1"/>
    </i>
    <i t="default">
      <x v="1"/>
    </i>
    <i>
      <x v="2"/>
      <x v="16"/>
      <x v="83"/>
      <x/>
      <x v="1"/>
    </i>
    <i r="1">
      <x v="27"/>
      <x v="87"/>
      <x/>
      <x v="1"/>
    </i>
    <i r="1">
      <x v="33"/>
      <x v="109"/>
      <x/>
      <x v="1"/>
    </i>
    <i r="1">
      <x v="56"/>
      <x v="82"/>
      <x/>
      <x v="1"/>
    </i>
    <i r="1">
      <x v="61"/>
      <x v="81"/>
      <x/>
      <x v="1"/>
    </i>
    <i r="1">
      <x v="91"/>
      <x v="93"/>
      <x/>
      <x v="1"/>
    </i>
    <i r="1">
      <x v="102"/>
      <x v="85"/>
      <x/>
      <x v="1"/>
    </i>
    <i r="1">
      <x v="109"/>
      <x v="94"/>
      <x/>
      <x v="1"/>
    </i>
    <i r="1">
      <x v="114"/>
      <x v="84"/>
      <x/>
      <x v="1"/>
    </i>
    <i t="default">
      <x v="2"/>
    </i>
    <i>
      <x v="3"/>
      <x v="8"/>
      <x v="5"/>
      <x/>
      <x v="1"/>
    </i>
    <i r="1">
      <x v="71"/>
      <x/>
      <x/>
      <x v="1"/>
    </i>
    <i r="1">
      <x v="77"/>
      <x v="7"/>
      <x/>
      <x v="1"/>
    </i>
    <i r="1">
      <x v="78"/>
      <x v="2"/>
      <x/>
      <x v="1"/>
    </i>
    <i r="1">
      <x v="83"/>
      <x v="103"/>
      <x/>
      <x v="1"/>
    </i>
    <i r="1">
      <x v="95"/>
      <x v="1"/>
      <x/>
      <x v="1"/>
    </i>
    <i r="1">
      <x v="97"/>
      <x v="4"/>
      <x/>
      <x v="1"/>
    </i>
    <i t="default">
      <x v="3"/>
    </i>
    <i>
      <x v="4"/>
      <x v="70"/>
      <x v="8"/>
      <x/>
      <x v="1"/>
    </i>
    <i r="1">
      <x v="76"/>
      <x v="11"/>
      <x/>
      <x v="1"/>
    </i>
    <i r="1">
      <x v="107"/>
      <x v="116"/>
      <x/>
      <x v="1"/>
    </i>
    <i r="1">
      <x v="112"/>
      <x v="9"/>
      <x/>
      <x v="1"/>
    </i>
    <i t="default">
      <x v="4"/>
    </i>
    <i>
      <x v="5"/>
      <x v="4"/>
      <x v="15"/>
      <x v="2"/>
      <x/>
    </i>
    <i r="1">
      <x v="9"/>
      <x v="14"/>
      <x v="2"/>
      <x/>
    </i>
    <i r="1">
      <x v="45"/>
      <x v="17"/>
      <x/>
      <x v="1"/>
    </i>
    <i r="1">
      <x v="58"/>
      <x v="16"/>
      <x v="2"/>
      <x/>
    </i>
    <i r="1">
      <x v="89"/>
      <x v="18"/>
      <x/>
      <x v="1"/>
    </i>
    <i t="default">
      <x v="5"/>
    </i>
    <i>
      <x v="6"/>
      <x v="74"/>
      <x v="37"/>
      <x/>
      <x v="1"/>
    </i>
    <i r="1">
      <x v="75"/>
      <x v="36"/>
      <x/>
      <x v="1"/>
    </i>
    <i t="default">
      <x v="6"/>
    </i>
    <i>
      <x v="7"/>
      <x/>
      <x v="33"/>
      <x/>
      <x v="1"/>
    </i>
    <i r="1">
      <x v="3"/>
      <x v="31"/>
      <x/>
      <x v="1"/>
    </i>
    <i r="1">
      <x v="20"/>
      <x v="32"/>
      <x/>
      <x v="1"/>
    </i>
    <i r="1">
      <x v="42"/>
      <x v="105"/>
      <x/>
      <x v="1"/>
    </i>
    <i r="1">
      <x v="60"/>
      <x v="30"/>
      <x/>
      <x v="1"/>
    </i>
    <i t="default">
      <x v="7"/>
    </i>
    <i>
      <x v="8"/>
      <x v="10"/>
      <x v="38"/>
      <x v="2"/>
      <x/>
    </i>
    <i r="1">
      <x v="13"/>
      <x v="102"/>
      <x/>
      <x v="1"/>
    </i>
    <i r="1">
      <x v="14"/>
      <x v="110"/>
      <x v="1"/>
      <x/>
    </i>
    <i r="1">
      <x v="15"/>
      <x v="111"/>
      <x v="1"/>
      <x/>
    </i>
    <i r="1">
      <x v="24"/>
      <x v="40"/>
      <x v="1"/>
      <x/>
    </i>
    <i r="1">
      <x v="25"/>
      <x v="96"/>
      <x/>
      <x v="1"/>
    </i>
    <i r="1">
      <x v="39"/>
      <x v="41"/>
      <x v="2"/>
      <x/>
    </i>
    <i r="1">
      <x v="51"/>
      <x v="91"/>
      <x/>
      <x v="1"/>
    </i>
    <i r="1">
      <x v="62"/>
      <x v="97"/>
      <x v="1"/>
      <x/>
    </i>
    <i r="1">
      <x v="63"/>
      <x v="112"/>
      <x v="1"/>
      <x/>
    </i>
    <i r="1">
      <x v="64"/>
      <x v="113"/>
      <x v="2"/>
      <x/>
    </i>
    <i r="1">
      <x v="80"/>
      <x v="114"/>
      <x/>
      <x v="1"/>
    </i>
    <i r="1">
      <x v="81"/>
      <x v="115"/>
      <x/>
      <x v="1"/>
    </i>
    <i r="1">
      <x v="82"/>
      <x v="44"/>
      <x v="1"/>
      <x/>
    </i>
    <i r="1">
      <x v="84"/>
      <x v="55"/>
      <x v="2"/>
      <x/>
    </i>
    <i r="1">
      <x v="85"/>
      <x v="92"/>
      <x v="2"/>
      <x/>
    </i>
    <i r="1">
      <x v="98"/>
      <x v="45"/>
      <x v="2"/>
      <x/>
    </i>
    <i r="1">
      <x v="105"/>
      <x v="47"/>
      <x/>
      <x v="1"/>
    </i>
    <i r="1">
      <x v="106"/>
      <x v="90"/>
      <x/>
      <x v="1"/>
    </i>
    <i r="1">
      <x v="108"/>
      <x v="57"/>
      <x/>
      <x v="1"/>
    </i>
    <i t="default">
      <x v="8"/>
    </i>
    <i>
      <x v="9"/>
      <x v="36"/>
      <x v="12"/>
      <x v="3"/>
      <x v="1"/>
    </i>
    <i r="1">
      <x v="94"/>
      <x v="13"/>
      <x v="3"/>
      <x v="1"/>
    </i>
    <i t="default">
      <x v="9"/>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8">
    <format dxfId="655">
      <pivotArea outline="0" fieldPosition="0">
        <references count="1">
          <reference field="4294967294" count="1">
            <x v="1"/>
          </reference>
        </references>
      </pivotArea>
    </format>
    <format dxfId="654">
      <pivotArea outline="0" fieldPosition="0">
        <references count="1">
          <reference field="4294967294" count="1">
            <x v="0"/>
          </reference>
        </references>
      </pivotArea>
    </format>
    <format dxfId="653">
      <pivotArea field="5" type="button" dataOnly="0" labelOnly="1" outline="0" axis="axisRow" fieldPosition="0"/>
    </format>
    <format dxfId="652">
      <pivotArea field="11" type="button" dataOnly="0" labelOnly="1" outline="0" axis="axisRow" fieldPosition="1"/>
    </format>
    <format dxfId="651">
      <pivotArea field="12" type="button" dataOnly="0" labelOnly="1" outline="0" axis="axisRow" fieldPosition="2"/>
    </format>
    <format dxfId="650">
      <pivotArea field="27" type="button" dataOnly="0" labelOnly="1" outline="0" axis="axisRow" fieldPosition="4"/>
    </format>
    <format dxfId="649">
      <pivotArea field="28" type="button" dataOnly="0" labelOnly="1" outline="0" axis="axisRow" fieldPosition="3"/>
    </format>
    <format dxfId="648">
      <pivotArea dataOnly="0" labelOnly="1" outline="0" fieldPosition="0">
        <references count="1">
          <reference field="4294967294" count="2">
            <x v="0"/>
            <x v="1"/>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5" firstHeaderRow="0" firstDataRow="1" firstDataCol="6" rowPageCount="2" colPageCount="1"/>
  <pivotFields count="36">
    <pivotField axis="axisPage" compact="0" outline="0" multipleItemSelectionAllowed="1" showAll="0">
      <items count="3">
        <item h="1" x="1"/>
        <item x="0"/>
        <item t="default"/>
      </items>
    </pivotField>
    <pivotField compact="0" outline="0" showAll="0"/>
    <pivotField compact="0" outline="0" showAll="0"/>
    <pivotField compact="0" outline="0" showAll="0"/>
    <pivotField compact="0" outline="0" showAll="0"/>
    <pivotField axis="axisRow" compact="0" outline="0" subtotalTop="0" showAll="0">
      <items count="11">
        <item h="1" x="0"/>
        <item h="1" x="2"/>
        <item h="1" x="4"/>
        <item h="1" x="3"/>
        <item h="1" x="5"/>
        <item x="7"/>
        <item h="1" x="8"/>
        <item h="1" x="9"/>
        <item x="1"/>
        <item x="6"/>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7">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71"/>
        <item x="42"/>
        <item x="6"/>
        <item x="102"/>
        <item x="24"/>
        <item x="43"/>
        <item x="83"/>
        <item x="44"/>
        <item x="18"/>
        <item x="75"/>
        <item x="90"/>
        <item x="7"/>
        <item x="25"/>
        <item x="53"/>
        <item x="8"/>
        <item x="103"/>
        <item x="45"/>
        <item x="54"/>
        <item x="100"/>
        <item x="9"/>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13"/>
        <item x="28"/>
        <item x="72"/>
        <item x="65"/>
        <item x="46"/>
        <item x="66"/>
        <item x="112"/>
        <item x="113"/>
        <item x="99"/>
        <item x="14"/>
        <item x="37"/>
        <item x="93"/>
        <item x="15"/>
        <item x="114"/>
        <item x="115"/>
        <item x="69"/>
        <item x="116"/>
        <item x="16"/>
        <item x="17"/>
        <item x="70"/>
        <item x="30"/>
        <item x="39"/>
        <item x="47"/>
        <item x="91"/>
        <item x="0"/>
        <item x="34"/>
        <item x="36"/>
        <item x="38"/>
      </items>
    </pivotField>
    <pivotField axis="axisRow" compact="0" outline="0" showAll="0" defaultSubtotal="0">
      <items count="117">
        <item x="61"/>
        <item x="65"/>
        <item x="63"/>
        <item x="29"/>
        <item x="66"/>
        <item x="60"/>
        <item x="93"/>
        <item x="62"/>
        <item x="67"/>
        <item x="70"/>
        <item x="100"/>
        <item x="68"/>
        <item x="71"/>
        <item x="72"/>
        <item x="74"/>
        <item x="73"/>
        <item x="76"/>
        <item x="75"/>
        <item x="77"/>
        <item x="25"/>
        <item x="28"/>
        <item x="19"/>
        <item x="26"/>
        <item x="21"/>
        <item x="20"/>
        <item x="23"/>
        <item x="22"/>
        <item x="30"/>
        <item x="27"/>
        <item x="24"/>
        <item x="84"/>
        <item x="81"/>
        <item x="82"/>
        <item x="80"/>
        <item x="18"/>
        <item x="0"/>
        <item x="79"/>
        <item x="78"/>
        <item x="85"/>
        <item x="48"/>
        <item x="92"/>
        <item x="102"/>
        <item x="55"/>
        <item x="59"/>
        <item x="109"/>
        <item x="112"/>
        <item x="99"/>
        <item x="114"/>
        <item x="52"/>
        <item x="97"/>
        <item x="95"/>
        <item x="96"/>
        <item x="53"/>
        <item x="54"/>
        <item x="49"/>
        <item x="110"/>
        <item x="50"/>
        <item x="116"/>
        <item x="2"/>
        <item x="3"/>
        <item x="5"/>
        <item x="7"/>
        <item x="9"/>
        <item x="10"/>
        <item x="11"/>
        <item x="13"/>
        <item x="15"/>
        <item x="12"/>
        <item x="1"/>
        <item x="14"/>
        <item x="6"/>
        <item x="8"/>
        <item x="4"/>
        <item x="17"/>
        <item x="16"/>
        <item x="45"/>
        <item x="46"/>
        <item x="44"/>
        <item x="40"/>
        <item x="43"/>
        <item x="42"/>
        <item x="35"/>
        <item x="34"/>
        <item x="31"/>
        <item x="39"/>
        <item x="37"/>
        <item x="90"/>
        <item x="32"/>
        <item x="89"/>
        <item x="56"/>
        <item x="115"/>
        <item x="103"/>
        <item x="111"/>
        <item x="36"/>
        <item x="38"/>
        <item x="94"/>
        <item x="101"/>
        <item x="104"/>
        <item x="57"/>
        <item x="58"/>
        <item x="113"/>
        <item x="51"/>
        <item x="86"/>
        <item x="64"/>
        <item x="98"/>
        <item x="41"/>
        <item x="47"/>
        <item x="91"/>
        <item x="33"/>
        <item x="83"/>
        <item x="107"/>
        <item x="108"/>
        <item x="87"/>
        <item x="88"/>
        <item x="105"/>
        <item x="106"/>
        <item x="69"/>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4">
        <item x="0"/>
        <item x="3"/>
        <item h="1" x="2"/>
        <item x="1"/>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3">
        <item x="2"/>
        <item x="0"/>
        <item x="1"/>
      </items>
    </pivotField>
    <pivotField axis="axisRow" compact="0" outline="0" showAll="0" defaultSubtotal="0">
      <items count="6">
        <item x="0"/>
        <item x="4"/>
        <item x="2"/>
        <item x="1"/>
        <item x="3"/>
        <item x="5"/>
      </items>
    </pivotField>
    <pivotField compact="0" outline="0" showAll="0"/>
    <pivotField compact="0" outline="0" showAll="0"/>
    <pivotField compact="0" numFmtId="15" outline="0" showAll="0"/>
    <pivotField compact="0" outline="0" showAll="0"/>
    <pivotField axis="axisRow" compact="0" outline="0" showAll="0" defaultSubtotal="0">
      <items count="6">
        <item x="2"/>
        <item x="1"/>
        <item x="3"/>
        <item x="4"/>
        <item x="0"/>
        <item x="5"/>
      </items>
    </pivotField>
    <pivotField compact="0" numFmtId="9" outline="0" showAll="0" defaultSubtotal="0"/>
    <pivotField compact="0" outline="0"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6">
    <field x="5"/>
    <field x="28"/>
    <field x="27"/>
    <field x="33"/>
    <field x="11"/>
    <field x="12"/>
  </rowFields>
  <rowItems count="27">
    <i>
      <x v="5"/>
      <x/>
      <x v="1"/>
      <x v="4"/>
      <x v="44"/>
      <x v="17"/>
    </i>
    <i r="4">
      <x v="87"/>
      <x v="18"/>
    </i>
    <i r="1">
      <x v="4"/>
      <x/>
      <x v="2"/>
      <x v="4"/>
      <x v="15"/>
    </i>
    <i r="4">
      <x v="9"/>
      <x v="14"/>
    </i>
    <i r="4">
      <x v="56"/>
      <x v="16"/>
    </i>
    <i t="default">
      <x v="5"/>
    </i>
    <i>
      <x v="8"/>
      <x/>
      <x v="1"/>
      <x v="4"/>
      <x v="50"/>
      <x v="91"/>
    </i>
    <i r="4">
      <x v="78"/>
      <x v="110"/>
    </i>
    <i r="4">
      <x v="79"/>
      <x v="111"/>
    </i>
    <i r="4">
      <x v="102"/>
      <x v="47"/>
    </i>
    <i r="1">
      <x v="1"/>
      <x/>
      <x v="3"/>
      <x v="14"/>
      <x v="112"/>
    </i>
    <i r="4">
      <x v="15"/>
      <x v="113"/>
    </i>
    <i r="4">
      <x v="24"/>
      <x v="40"/>
    </i>
    <i r="4">
      <x v="60"/>
      <x v="97"/>
    </i>
    <i r="4">
      <x v="61"/>
      <x v="114"/>
    </i>
    <i r="4">
      <x v="80"/>
      <x v="44"/>
    </i>
    <i r="1">
      <x v="4"/>
      <x/>
      <x v="2"/>
      <x v="10"/>
      <x v="38"/>
    </i>
    <i r="4">
      <x v="38"/>
      <x v="41"/>
    </i>
    <i r="4">
      <x v="62"/>
      <x v="115"/>
    </i>
    <i r="4">
      <x v="82"/>
      <x v="55"/>
    </i>
    <i r="4">
      <x v="83"/>
      <x v="92"/>
    </i>
    <i r="4">
      <x v="95"/>
      <x v="45"/>
    </i>
    <i t="default">
      <x v="8"/>
    </i>
    <i>
      <x v="9"/>
      <x v="2"/>
      <x v="1"/>
      <x/>
      <x v="35"/>
      <x v="12"/>
    </i>
    <i r="4">
      <x v="91"/>
      <x v="13"/>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20">
    <format dxfId="647">
      <pivotArea dataOnly="0" outline="0" fieldPosition="0">
        <references count="1">
          <reference field="5" count="0" defaultSubtotal="1"/>
        </references>
      </pivotArea>
    </format>
    <format dxfId="646">
      <pivotArea outline="0" fieldPosition="0">
        <references count="1">
          <reference field="4294967294" count="1">
            <x v="0"/>
          </reference>
        </references>
      </pivotArea>
    </format>
    <format dxfId="645">
      <pivotArea field="5" type="button" dataOnly="0" labelOnly="1" outline="0" axis="axisRow" fieldPosition="0"/>
    </format>
    <format dxfId="644">
      <pivotArea field="28" type="button" dataOnly="0" labelOnly="1" outline="0" axis="axisRow" fieldPosition="1"/>
    </format>
    <format dxfId="643">
      <pivotArea field="27" type="button" dataOnly="0" labelOnly="1" outline="0" axis="axisRow" fieldPosition="2"/>
    </format>
    <format dxfId="642">
      <pivotArea field="11" type="button" dataOnly="0" labelOnly="1" outline="0" axis="axisRow" fieldPosition="4"/>
    </format>
    <format dxfId="641">
      <pivotArea dataOnly="0" labelOnly="1" outline="0" axis="axisValues" fieldPosition="0"/>
    </format>
    <format dxfId="640">
      <pivotArea outline="0" collapsedLevelsAreSubtotals="1" fieldPosition="0">
        <references count="4">
          <reference field="5" count="1" selected="0">
            <x v="5"/>
          </reference>
          <reference field="11" count="5" selected="0">
            <x v="4"/>
            <x v="9"/>
            <x v="44"/>
            <x v="56"/>
            <x v="87"/>
          </reference>
          <reference field="27" count="1" selected="0">
            <x v="1"/>
          </reference>
          <reference field="28" count="1" selected="0">
            <x v="0"/>
          </reference>
        </references>
      </pivotArea>
    </format>
    <format dxfId="639">
      <pivotArea dataOnly="0" labelOnly="1" outline="0" fieldPosition="0">
        <references count="2">
          <reference field="5" count="1" selected="0">
            <x v="5"/>
          </reference>
          <reference field="28" count="1">
            <x v="0"/>
          </reference>
        </references>
      </pivotArea>
    </format>
    <format dxfId="638">
      <pivotArea dataOnly="0" labelOnly="1" outline="0" fieldPosition="0">
        <references count="4">
          <reference field="5" count="1" selected="0">
            <x v="5"/>
          </reference>
          <reference field="11" count="3">
            <x v="4"/>
            <x v="9"/>
            <x v="56"/>
          </reference>
          <reference field="27" count="1" selected="0">
            <x v="1"/>
          </reference>
          <reference field="28" count="1" selected="0">
            <x v="0"/>
          </reference>
        </references>
      </pivotArea>
    </format>
    <format dxfId="637">
      <pivotArea outline="0" collapsedLevelsAreSubtotals="1" fieldPosition="0">
        <references count="1">
          <reference field="5" count="1" selected="0" defaultSubtotal="1">
            <x v="5"/>
          </reference>
        </references>
      </pivotArea>
    </format>
    <format dxfId="636">
      <pivotArea dataOnly="0" labelOnly="1" outline="0" fieldPosition="0">
        <references count="1">
          <reference field="5" count="1" defaultSubtotal="1">
            <x v="5"/>
          </reference>
        </references>
      </pivotArea>
    </format>
    <format dxfId="635">
      <pivotArea dataOnly="0" labelOnly="1" outline="0" fieldPosition="0">
        <references count="2">
          <reference field="5" count="1" selected="0">
            <x v="8"/>
          </reference>
          <reference field="28" count="1">
            <x v="0"/>
          </reference>
        </references>
      </pivotArea>
    </format>
    <format dxfId="634">
      <pivotArea dataOnly="0" labelOnly="1" outline="0" fieldPosition="0">
        <references count="4">
          <reference field="5" count="1" selected="0">
            <x v="8"/>
          </reference>
          <reference field="11" count="4">
            <x v="79"/>
            <x v="82"/>
            <x v="83"/>
            <x v="95"/>
          </reference>
          <reference field="27" count="1" selected="0">
            <x v="1"/>
          </reference>
          <reference field="28" count="1" selected="0">
            <x v="0"/>
          </reference>
        </references>
      </pivotArea>
    </format>
    <format dxfId="633">
      <pivotArea dataOnly="0" labelOnly="1" outline="0" fieldPosition="0">
        <references count="1">
          <reference field="5" count="1" defaultSubtotal="1">
            <x v="8"/>
          </reference>
        </references>
      </pivotArea>
    </format>
    <format dxfId="632">
      <pivotArea grandRow="1" outline="0" collapsedLevelsAreSubtotals="1" fieldPosition="0"/>
    </format>
    <format dxfId="631">
      <pivotArea dataOnly="0" labelOnly="1" grandRow="1" outline="0" fieldPosition="0"/>
    </format>
    <format dxfId="630">
      <pivotArea type="all" dataOnly="0" outline="0" fieldPosition="0"/>
    </format>
    <format dxfId="629">
      <pivotArea dataOnly="0" labelOnly="1" outline="0" fieldPosition="0">
        <references count="1">
          <reference field="11" count="0"/>
        </references>
      </pivotArea>
    </format>
    <format dxfId="628">
      <pivotArea dataOnly="0" labelOnly="1" outline="0" fieldPosition="0">
        <references count="1">
          <reference field="5" count="0"/>
        </references>
      </pivotArea>
    </format>
    <format dxfId="627">
      <pivotArea dataOnly="0" labelOnly="1" outline="0" fieldPosition="0">
        <references count="1">
          <reference field="5" count="1" defaultSubtotal="1">
            <x v="5"/>
          </reference>
        </references>
      </pivotArea>
    </format>
    <format dxfId="626">
      <pivotArea dataOnly="0" labelOnly="1" outline="0" fieldPosition="0">
        <references count="2">
          <reference field="5" count="1" selected="0">
            <x v="5"/>
          </reference>
          <reference field="28" count="1">
            <x v="0"/>
          </reference>
        </references>
      </pivotArea>
    </format>
    <format dxfId="625">
      <pivotArea dataOnly="0" labelOnly="1" outline="0" fieldPosition="0">
        <references count="2">
          <reference field="5" count="1" selected="0">
            <x v="8"/>
          </reference>
          <reference field="28" count="2">
            <x v="1"/>
            <x v="4"/>
          </reference>
        </references>
      </pivotArea>
    </format>
    <format dxfId="624">
      <pivotArea dataOnly="0" labelOnly="1" outline="0" fieldPosition="0">
        <references count="3">
          <reference field="5" count="1" selected="0">
            <x v="5"/>
          </reference>
          <reference field="27" count="1" selected="0">
            <x v="1"/>
          </reference>
          <reference field="28" count="1">
            <x v="0"/>
          </reference>
        </references>
      </pivotArea>
    </format>
    <format dxfId="623">
      <pivotArea field="11" type="button" dataOnly="0" labelOnly="1" outline="0" axis="axisRow" fieldPosition="4"/>
    </format>
    <format dxfId="622">
      <pivotArea field="12" type="button" dataOnly="0" labelOnly="1" outline="0" axis="axisRow" fieldPosition="5"/>
    </format>
    <format dxfId="621">
      <pivotArea outline="0" collapsedLevelsAreSubtotals="1" fieldPosition="0">
        <references count="1">
          <reference field="4294967294" count="1" selected="0">
            <x v="0"/>
          </reference>
        </references>
      </pivotArea>
    </format>
    <format dxfId="620">
      <pivotArea dataOnly="0" labelOnly="1" outline="0" fieldPosition="0">
        <references count="1">
          <reference field="4294967294" count="1">
            <x v="0"/>
          </reference>
        </references>
      </pivotArea>
    </format>
    <format dxfId="619">
      <pivotArea outline="0" collapsedLevelsAreSubtotals="1" fieldPosition="0">
        <references count="1">
          <reference field="4294967294" count="1" selected="0">
            <x v="0"/>
          </reference>
        </references>
      </pivotArea>
    </format>
    <format dxfId="618">
      <pivotArea dataOnly="0" labelOnly="1" outline="0" fieldPosition="0">
        <references count="1">
          <reference field="4294967294" count="1">
            <x v="0"/>
          </reference>
        </references>
      </pivotArea>
    </format>
    <format dxfId="617">
      <pivotArea dataOnly="0" labelOnly="1" outline="0" fieldPosition="0">
        <references count="1">
          <reference field="5" count="1" defaultSubtotal="1">
            <x v="5"/>
          </reference>
        </references>
      </pivotArea>
    </format>
    <format dxfId="616">
      <pivotArea outline="0" collapsedLevelsAreSubtotals="1" fieldPosition="0">
        <references count="1">
          <reference field="5" count="1" selected="0" defaultSubtotal="1">
            <x v="5"/>
          </reference>
        </references>
      </pivotArea>
    </format>
    <format dxfId="615">
      <pivotArea dataOnly="0" labelOnly="1" outline="0" fieldPosition="0">
        <references count="1">
          <reference field="5" count="1" defaultSubtotal="1">
            <x v="8"/>
          </reference>
        </references>
      </pivotArea>
    </format>
    <format dxfId="614">
      <pivotArea dataOnly="0" labelOnly="1" outline="0" fieldPosition="0">
        <references count="1">
          <reference field="33" count="0"/>
        </references>
      </pivotArea>
    </format>
    <format dxfId="613">
      <pivotArea outline="0" collapsedLevelsAreSubtotals="1" fieldPosition="0">
        <references count="1">
          <reference field="4294967294" count="1" selected="0">
            <x v="1"/>
          </reference>
        </references>
      </pivotArea>
    </format>
    <format dxfId="612">
      <pivotArea dataOnly="0" labelOnly="1" outline="0" fieldPosition="0">
        <references count="1">
          <reference field="4294967294" count="1">
            <x v="1"/>
          </reference>
        </references>
      </pivotArea>
    </format>
    <format dxfId="611">
      <pivotArea field="33" type="button" dataOnly="0" labelOnly="1" outline="0" axis="axisRow" fieldPosition="3"/>
    </format>
    <format dxfId="610">
      <pivotArea outline="0" collapsedLevelsAreSubtotals="1" fieldPosition="0">
        <references count="1">
          <reference field="5" count="1" selected="0" defaultSubtotal="1">
            <x v="5"/>
          </reference>
        </references>
      </pivotArea>
    </format>
    <format dxfId="609">
      <pivotArea dataOnly="0" labelOnly="1" outline="0" fieldPosition="0">
        <references count="1">
          <reference field="5" count="1" defaultSubtotal="1">
            <x v="5"/>
          </reference>
        </references>
      </pivotArea>
    </format>
    <format dxfId="608">
      <pivotArea dataOnly="0" labelOnly="1" grandRow="1" outline="0" fieldPosition="0"/>
    </format>
    <format dxfId="607">
      <pivotArea grandRow="1" outline="0" collapsedLevelsAreSubtotals="1" fieldPosition="0"/>
    </format>
    <format dxfId="606">
      <pivotArea dataOnly="0" labelOnly="1" grandRow="1" outline="0" fieldPosition="0"/>
    </format>
    <format dxfId="605">
      <pivotArea outline="0" collapsedLevelsAreSubtotals="1" fieldPosition="0">
        <references count="1">
          <reference field="5" count="2" selected="0" defaultSubtotal="1">
            <x v="8"/>
            <x v="9"/>
          </reference>
        </references>
      </pivotArea>
    </format>
    <format dxfId="604">
      <pivotArea dataOnly="0" labelOnly="1" outline="0" fieldPosition="0">
        <references count="1">
          <reference field="5" count="2">
            <x v="8"/>
            <x v="9"/>
          </reference>
        </references>
      </pivotArea>
    </format>
    <format dxfId="603">
      <pivotArea dataOnly="0" labelOnly="1" outline="0" fieldPosition="0">
        <references count="1">
          <reference field="5" count="2" defaultSubtotal="1">
            <x v="8"/>
            <x v="9"/>
          </reference>
        </references>
      </pivotArea>
    </format>
    <format dxfId="602">
      <pivotArea outline="0" collapsedLevelsAreSubtotals="1" fieldPosition="0">
        <references count="6">
          <reference field="5" count="1" selected="0">
            <x v="5"/>
          </reference>
          <reference field="11" count="5" selected="0">
            <x v="4"/>
            <x v="9"/>
            <x v="44"/>
            <x v="56"/>
            <x v="87"/>
          </reference>
          <reference field="12" count="5" selected="0">
            <x v="14"/>
            <x v="15"/>
            <x v="16"/>
            <x v="17"/>
            <x v="18"/>
          </reference>
          <reference field="27" count="2" selected="0">
            <x v="0"/>
            <x v="1"/>
          </reference>
          <reference field="28" count="1" selected="0">
            <x v="4"/>
          </reference>
          <reference field="33" count="1" selected="0">
            <x v="2"/>
          </reference>
        </references>
      </pivotArea>
    </format>
    <format dxfId="601">
      <pivotArea dataOnly="0" labelOnly="1" outline="0" fieldPosition="0">
        <references count="1">
          <reference field="5" count="1">
            <x v="5"/>
          </reference>
        </references>
      </pivotArea>
    </format>
    <format dxfId="600">
      <pivotArea dataOnly="0" labelOnly="1" outline="0" fieldPosition="0">
        <references count="2">
          <reference field="5" count="1" selected="0">
            <x v="5"/>
          </reference>
          <reference field="28" count="1">
            <x v="4"/>
          </reference>
        </references>
      </pivotArea>
    </format>
    <format dxfId="599">
      <pivotArea dataOnly="0" labelOnly="1" outline="0" fieldPosition="0">
        <references count="3">
          <reference field="5" count="1" selected="0">
            <x v="5"/>
          </reference>
          <reference field="27" count="1">
            <x v="0"/>
          </reference>
          <reference field="28" count="1" selected="0">
            <x v="4"/>
          </reference>
        </references>
      </pivotArea>
    </format>
    <format dxfId="598">
      <pivotArea dataOnly="0" labelOnly="1" outline="0" fieldPosition="0">
        <references count="4">
          <reference field="5" count="1" selected="0">
            <x v="5"/>
          </reference>
          <reference field="27" count="1" selected="0">
            <x v="0"/>
          </reference>
          <reference field="28" count="1" selected="0">
            <x v="4"/>
          </reference>
          <reference field="33" count="1">
            <x v="2"/>
          </reference>
        </references>
      </pivotArea>
    </format>
    <format dxfId="597">
      <pivotArea dataOnly="0" labelOnly="1" outline="0" fieldPosition="0">
        <references count="5">
          <reference field="5" count="1" selected="0">
            <x v="5"/>
          </reference>
          <reference field="11" count="3">
            <x v="4"/>
            <x v="9"/>
            <x v="56"/>
          </reference>
          <reference field="27" count="1" selected="0">
            <x v="0"/>
          </reference>
          <reference field="28" count="1" selected="0">
            <x v="4"/>
          </reference>
          <reference field="33" count="1" selected="0">
            <x v="2"/>
          </reference>
        </references>
      </pivotArea>
    </format>
    <format dxfId="596">
      <pivotArea dataOnly="0" labelOnly="1" outline="0" fieldPosition="0">
        <references count="6">
          <reference field="5" count="1" selected="0">
            <x v="5"/>
          </reference>
          <reference field="11" count="1" selected="0">
            <x v="4"/>
          </reference>
          <reference field="12" count="1">
            <x v="15"/>
          </reference>
          <reference field="27" count="1" selected="0">
            <x v="0"/>
          </reference>
          <reference field="28" count="1" selected="0">
            <x v="4"/>
          </reference>
          <reference field="33" count="1" selected="0">
            <x v="2"/>
          </reference>
        </references>
      </pivotArea>
    </format>
    <format dxfId="595">
      <pivotArea dataOnly="0" labelOnly="1" outline="0" fieldPosition="0">
        <references count="6">
          <reference field="5" count="1" selected="0">
            <x v="5"/>
          </reference>
          <reference field="11" count="1" selected="0">
            <x v="9"/>
          </reference>
          <reference field="12" count="1">
            <x v="14"/>
          </reference>
          <reference field="27" count="1" selected="0">
            <x v="0"/>
          </reference>
          <reference field="28" count="1" selected="0">
            <x v="4"/>
          </reference>
          <reference field="33" count="1" selected="0">
            <x v="2"/>
          </reference>
        </references>
      </pivotArea>
    </format>
    <format dxfId="594">
      <pivotArea dataOnly="0" labelOnly="1" outline="0" fieldPosition="0">
        <references count="6">
          <reference field="5" count="1" selected="0">
            <x v="5"/>
          </reference>
          <reference field="11" count="1" selected="0">
            <x v="56"/>
          </reference>
          <reference field="12" count="1">
            <x v="16"/>
          </reference>
          <reference field="27" count="1" selected="0">
            <x v="0"/>
          </reference>
          <reference field="28" count="1" selected="0">
            <x v="4"/>
          </reference>
          <reference field="33" count="1" selected="0">
            <x v="2"/>
          </reference>
        </references>
      </pivotArea>
    </format>
    <format dxfId="593">
      <pivotArea outline="0" collapsedLevelsAreSubtotals="1" fieldPosition="0">
        <references count="6">
          <reference field="5" count="1" selected="0">
            <x v="5"/>
          </reference>
          <reference field="11" count="5" selected="0">
            <x v="4"/>
            <x v="9"/>
            <x v="44"/>
            <x v="56"/>
            <x v="87"/>
          </reference>
          <reference field="12" count="5" selected="0">
            <x v="14"/>
            <x v="15"/>
            <x v="16"/>
            <x v="17"/>
            <x v="18"/>
          </reference>
          <reference field="27" count="2" selected="0">
            <x v="0"/>
            <x v="1"/>
          </reference>
          <reference field="28" count="1" selected="0">
            <x v="4"/>
          </reference>
          <reference field="33" count="1" selected="0">
            <x v="2"/>
          </reference>
        </references>
      </pivotArea>
    </format>
    <format dxfId="592">
      <pivotArea field="5" type="button" dataOnly="0" labelOnly="1" outline="0" axis="axisRow" fieldPosition="0"/>
    </format>
    <format dxfId="591">
      <pivotArea field="28" type="button" dataOnly="0" labelOnly="1" outline="0" axis="axisRow" fieldPosition="1"/>
    </format>
    <format dxfId="590">
      <pivotArea field="27" type="button" dataOnly="0" labelOnly="1" outline="0" axis="axisRow" fieldPosition="2"/>
    </format>
    <format dxfId="589">
      <pivotArea field="33" type="button" dataOnly="0" labelOnly="1" outline="0" axis="axisRow" fieldPosition="3"/>
    </format>
    <format dxfId="588">
      <pivotArea field="11" type="button" dataOnly="0" labelOnly="1" outline="0" axis="axisRow" fieldPosition="4"/>
    </format>
    <format dxfId="587">
      <pivotArea field="12" type="button" dataOnly="0" labelOnly="1" outline="0" axis="axisRow" fieldPosition="5"/>
    </format>
    <format dxfId="586">
      <pivotArea dataOnly="0" labelOnly="1" outline="0" fieldPosition="0">
        <references count="1">
          <reference field="5" count="1">
            <x v="5"/>
          </reference>
        </references>
      </pivotArea>
    </format>
    <format dxfId="585">
      <pivotArea dataOnly="0" labelOnly="1" outline="0" fieldPosition="0">
        <references count="2">
          <reference field="5" count="1" selected="0">
            <x v="5"/>
          </reference>
          <reference field="28" count="1">
            <x v="4"/>
          </reference>
        </references>
      </pivotArea>
    </format>
    <format dxfId="584">
      <pivotArea dataOnly="0" labelOnly="1" outline="0" fieldPosition="0">
        <references count="3">
          <reference field="5" count="1" selected="0">
            <x v="5"/>
          </reference>
          <reference field="27" count="1">
            <x v="0"/>
          </reference>
          <reference field="28" count="1" selected="0">
            <x v="4"/>
          </reference>
        </references>
      </pivotArea>
    </format>
    <format dxfId="583">
      <pivotArea dataOnly="0" labelOnly="1" outline="0" fieldPosition="0">
        <references count="4">
          <reference field="5" count="1" selected="0">
            <x v="5"/>
          </reference>
          <reference field="27" count="1" selected="0">
            <x v="0"/>
          </reference>
          <reference field="28" count="1" selected="0">
            <x v="4"/>
          </reference>
          <reference field="33" count="1">
            <x v="2"/>
          </reference>
        </references>
      </pivotArea>
    </format>
    <format dxfId="582">
      <pivotArea dataOnly="0" labelOnly="1" outline="0" fieldPosition="0">
        <references count="5">
          <reference field="5" count="1" selected="0">
            <x v="5"/>
          </reference>
          <reference field="11" count="3">
            <x v="4"/>
            <x v="9"/>
            <x v="56"/>
          </reference>
          <reference field="27" count="1" selected="0">
            <x v="0"/>
          </reference>
          <reference field="28" count="1" selected="0">
            <x v="4"/>
          </reference>
          <reference field="33" count="1" selected="0">
            <x v="2"/>
          </reference>
        </references>
      </pivotArea>
    </format>
    <format dxfId="581">
      <pivotArea dataOnly="0" labelOnly="1" outline="0" fieldPosition="0">
        <references count="6">
          <reference field="5" count="1" selected="0">
            <x v="5"/>
          </reference>
          <reference field="11" count="1" selected="0">
            <x v="4"/>
          </reference>
          <reference field="12" count="1">
            <x v="15"/>
          </reference>
          <reference field="27" count="1" selected="0">
            <x v="0"/>
          </reference>
          <reference field="28" count="1" selected="0">
            <x v="4"/>
          </reference>
          <reference field="33" count="1" selected="0">
            <x v="2"/>
          </reference>
        </references>
      </pivotArea>
    </format>
    <format dxfId="580">
      <pivotArea dataOnly="0" labelOnly="1" outline="0" fieldPosition="0">
        <references count="6">
          <reference field="5" count="1" selected="0">
            <x v="5"/>
          </reference>
          <reference field="11" count="1" selected="0">
            <x v="9"/>
          </reference>
          <reference field="12" count="1">
            <x v="14"/>
          </reference>
          <reference field="27" count="1" selected="0">
            <x v="0"/>
          </reference>
          <reference field="28" count="1" selected="0">
            <x v="4"/>
          </reference>
          <reference field="33" count="1" selected="0">
            <x v="2"/>
          </reference>
        </references>
      </pivotArea>
    </format>
    <format dxfId="579">
      <pivotArea dataOnly="0" labelOnly="1" outline="0" fieldPosition="0">
        <references count="6">
          <reference field="5" count="1" selected="0">
            <x v="5"/>
          </reference>
          <reference field="11" count="1" selected="0">
            <x v="56"/>
          </reference>
          <reference field="12" count="1">
            <x v="16"/>
          </reference>
          <reference field="27" count="1" selected="0">
            <x v="0"/>
          </reference>
          <reference field="28" count="1" selected="0">
            <x v="4"/>
          </reference>
          <reference field="33" count="1" selected="0">
            <x v="2"/>
          </reference>
        </references>
      </pivotArea>
    </format>
    <format dxfId="578">
      <pivotArea dataOnly="0" labelOnly="1" outline="0" fieldPosition="0">
        <references count="1">
          <reference field="4294967294" count="3">
            <x v="0"/>
            <x v="1"/>
            <x v="2"/>
          </reference>
        </references>
      </pivotArea>
    </format>
    <format dxfId="577">
      <pivotArea outline="0" collapsedLevelsAreSubtotals="1" fieldPosition="0">
        <references count="6">
          <reference field="5" count="1" selected="0">
            <x v="8"/>
          </reference>
          <reference field="11" count="16" selected="0">
            <x v="10"/>
            <x v="14"/>
            <x v="15"/>
            <x v="24"/>
            <x v="38"/>
            <x v="50"/>
            <x v="60"/>
            <x v="61"/>
            <x v="62"/>
            <x v="78"/>
            <x v="79"/>
            <x v="80"/>
            <x v="82"/>
            <x v="83"/>
            <x v="95"/>
            <x v="102"/>
          </reference>
          <reference field="12" count="16" selected="0">
            <x v="38"/>
            <x v="40"/>
            <x v="41"/>
            <x v="44"/>
            <x v="45"/>
            <x v="47"/>
            <x v="55"/>
            <x v="91"/>
            <x v="92"/>
            <x v="97"/>
            <x v="110"/>
            <x v="111"/>
            <x v="112"/>
            <x v="113"/>
            <x v="114"/>
            <x v="115"/>
          </reference>
          <reference field="27" count="2" selected="0">
            <x v="0"/>
            <x v="1"/>
          </reference>
          <reference field="28" count="3" selected="0">
            <x v="0"/>
            <x v="1"/>
            <x v="4"/>
          </reference>
          <reference field="33" count="3" selected="0">
            <x v="2"/>
            <x v="3"/>
            <x v="4"/>
          </reference>
        </references>
      </pivotArea>
    </format>
    <format dxfId="576">
      <pivotArea dataOnly="0" labelOnly="1" outline="0" fieldPosition="0">
        <references count="1">
          <reference field="5" count="1">
            <x v="8"/>
          </reference>
        </references>
      </pivotArea>
    </format>
    <format dxfId="575">
      <pivotArea dataOnly="0" labelOnly="1" outline="0" fieldPosition="0">
        <references count="2">
          <reference field="5" count="1" selected="0">
            <x v="8"/>
          </reference>
          <reference field="28" count="3">
            <x v="0"/>
            <x v="1"/>
            <x v="4"/>
          </reference>
        </references>
      </pivotArea>
    </format>
    <format dxfId="574">
      <pivotArea dataOnly="0" labelOnly="1" outline="0" fieldPosition="0">
        <references count="3">
          <reference field="5" count="1" selected="0">
            <x v="8"/>
          </reference>
          <reference field="27" count="1">
            <x v="1"/>
          </reference>
          <reference field="28" count="1" selected="0">
            <x v="0"/>
          </reference>
        </references>
      </pivotArea>
    </format>
    <format dxfId="573">
      <pivotArea dataOnly="0" labelOnly="1" outline="0" fieldPosition="0">
        <references count="3">
          <reference field="5" count="1" selected="0">
            <x v="8"/>
          </reference>
          <reference field="27" count="1">
            <x v="0"/>
          </reference>
          <reference field="28" count="1" selected="0">
            <x v="1"/>
          </reference>
        </references>
      </pivotArea>
    </format>
    <format dxfId="572">
      <pivotArea dataOnly="0" labelOnly="1" outline="0" fieldPosition="0">
        <references count="3">
          <reference field="5" count="1" selected="0">
            <x v="8"/>
          </reference>
          <reference field="27" count="1">
            <x v="0"/>
          </reference>
          <reference field="28" count="1" selected="0">
            <x v="4"/>
          </reference>
        </references>
      </pivotArea>
    </format>
    <format dxfId="571">
      <pivotArea dataOnly="0" labelOnly="1" outline="0" fieldPosition="0">
        <references count="4">
          <reference field="5" count="1" selected="0">
            <x v="8"/>
          </reference>
          <reference field="27" count="1" selected="0">
            <x v="1"/>
          </reference>
          <reference field="28" count="1" selected="0">
            <x v="0"/>
          </reference>
          <reference field="33" count="1">
            <x v="4"/>
          </reference>
        </references>
      </pivotArea>
    </format>
    <format dxfId="570">
      <pivotArea dataOnly="0" labelOnly="1" outline="0" fieldPosition="0">
        <references count="4">
          <reference field="5" count="1" selected="0">
            <x v="8"/>
          </reference>
          <reference field="27" count="1" selected="0">
            <x v="0"/>
          </reference>
          <reference field="28" count="1" selected="0">
            <x v="1"/>
          </reference>
          <reference field="33" count="1">
            <x v="3"/>
          </reference>
        </references>
      </pivotArea>
    </format>
    <format dxfId="569">
      <pivotArea dataOnly="0" labelOnly="1" outline="0" fieldPosition="0">
        <references count="4">
          <reference field="5" count="1" selected="0">
            <x v="8"/>
          </reference>
          <reference field="27" count="1" selected="0">
            <x v="0"/>
          </reference>
          <reference field="28" count="1" selected="0">
            <x v="4"/>
          </reference>
          <reference field="33" count="1">
            <x v="2"/>
          </reference>
        </references>
      </pivotArea>
    </format>
    <format dxfId="568">
      <pivotArea dataOnly="0" labelOnly="1" outline="0" fieldPosition="0">
        <references count="5">
          <reference field="5" count="1" selected="0">
            <x v="8"/>
          </reference>
          <reference field="11" count="1">
            <x v="79"/>
          </reference>
          <reference field="27" count="1" selected="0">
            <x v="1"/>
          </reference>
          <reference field="28" count="1" selected="0">
            <x v="0"/>
          </reference>
          <reference field="33" count="1" selected="0">
            <x v="4"/>
          </reference>
        </references>
      </pivotArea>
    </format>
    <format dxfId="567">
      <pivotArea dataOnly="0" labelOnly="1" outline="0" fieldPosition="0">
        <references count="5">
          <reference field="5" count="1" selected="0">
            <x v="8"/>
          </reference>
          <reference field="11" count="6">
            <x v="14"/>
            <x v="15"/>
            <x v="24"/>
            <x v="60"/>
            <x v="61"/>
            <x v="80"/>
          </reference>
          <reference field="27" count="1" selected="0">
            <x v="0"/>
          </reference>
          <reference field="28" count="1" selected="0">
            <x v="1"/>
          </reference>
          <reference field="33" count="1" selected="0">
            <x v="3"/>
          </reference>
        </references>
      </pivotArea>
    </format>
    <format dxfId="566">
      <pivotArea dataOnly="0" labelOnly="1" outline="0" fieldPosition="0">
        <references count="5">
          <reference field="5" count="1" selected="0">
            <x v="8"/>
          </reference>
          <reference field="11" count="6">
            <x v="10"/>
            <x v="38"/>
            <x v="62"/>
            <x v="82"/>
            <x v="83"/>
            <x v="95"/>
          </reference>
          <reference field="27" count="1" selected="0">
            <x v="0"/>
          </reference>
          <reference field="28" count="1" selected="0">
            <x v="4"/>
          </reference>
          <reference field="33" count="1" selected="0">
            <x v="2"/>
          </reference>
        </references>
      </pivotArea>
    </format>
    <format dxfId="565">
      <pivotArea dataOnly="0" labelOnly="1" outline="0" fieldPosition="0">
        <references count="6">
          <reference field="5" count="1" selected="0">
            <x v="8"/>
          </reference>
          <reference field="11" count="1" selected="0">
            <x v="79"/>
          </reference>
          <reference field="12" count="1">
            <x v="111"/>
          </reference>
          <reference field="27" count="1" selected="0">
            <x v="1"/>
          </reference>
          <reference field="28" count="1" selected="0">
            <x v="0"/>
          </reference>
          <reference field="33" count="1" selected="0">
            <x v="4"/>
          </reference>
        </references>
      </pivotArea>
    </format>
    <format dxfId="564">
      <pivotArea dataOnly="0" labelOnly="1" outline="0" fieldPosition="0">
        <references count="6">
          <reference field="5" count="1" selected="0">
            <x v="8"/>
          </reference>
          <reference field="11" count="1" selected="0">
            <x v="14"/>
          </reference>
          <reference field="12" count="1">
            <x v="112"/>
          </reference>
          <reference field="27" count="1" selected="0">
            <x v="0"/>
          </reference>
          <reference field="28" count="1" selected="0">
            <x v="1"/>
          </reference>
          <reference field="33" count="1" selected="0">
            <x v="3"/>
          </reference>
        </references>
      </pivotArea>
    </format>
    <format dxfId="563">
      <pivotArea dataOnly="0" labelOnly="1" outline="0" fieldPosition="0">
        <references count="6">
          <reference field="5" count="1" selected="0">
            <x v="8"/>
          </reference>
          <reference field="11" count="1" selected="0">
            <x v="15"/>
          </reference>
          <reference field="12" count="1">
            <x v="113"/>
          </reference>
          <reference field="27" count="1" selected="0">
            <x v="0"/>
          </reference>
          <reference field="28" count="1" selected="0">
            <x v="1"/>
          </reference>
          <reference field="33" count="1" selected="0">
            <x v="3"/>
          </reference>
        </references>
      </pivotArea>
    </format>
    <format dxfId="562">
      <pivotArea dataOnly="0" labelOnly="1" outline="0" fieldPosition="0">
        <references count="6">
          <reference field="5" count="1" selected="0">
            <x v="8"/>
          </reference>
          <reference field="11" count="1" selected="0">
            <x v="24"/>
          </reference>
          <reference field="12" count="1">
            <x v="40"/>
          </reference>
          <reference field="27" count="1" selected="0">
            <x v="0"/>
          </reference>
          <reference field="28" count="1" selected="0">
            <x v="1"/>
          </reference>
          <reference field="33" count="1" selected="0">
            <x v="3"/>
          </reference>
        </references>
      </pivotArea>
    </format>
    <format dxfId="561">
      <pivotArea dataOnly="0" labelOnly="1" outline="0" fieldPosition="0">
        <references count="6">
          <reference field="5" count="1" selected="0">
            <x v="8"/>
          </reference>
          <reference field="11" count="1" selected="0">
            <x v="60"/>
          </reference>
          <reference field="12" count="1">
            <x v="97"/>
          </reference>
          <reference field="27" count="1" selected="0">
            <x v="0"/>
          </reference>
          <reference field="28" count="1" selected="0">
            <x v="1"/>
          </reference>
          <reference field="33" count="1" selected="0">
            <x v="3"/>
          </reference>
        </references>
      </pivotArea>
    </format>
    <format dxfId="560">
      <pivotArea dataOnly="0" labelOnly="1" outline="0" fieldPosition="0">
        <references count="6">
          <reference field="5" count="1" selected="0">
            <x v="8"/>
          </reference>
          <reference field="11" count="1" selected="0">
            <x v="61"/>
          </reference>
          <reference field="12" count="1">
            <x v="114"/>
          </reference>
          <reference field="27" count="1" selected="0">
            <x v="0"/>
          </reference>
          <reference field="28" count="1" selected="0">
            <x v="1"/>
          </reference>
          <reference field="33" count="1" selected="0">
            <x v="3"/>
          </reference>
        </references>
      </pivotArea>
    </format>
    <format dxfId="559">
      <pivotArea dataOnly="0" labelOnly="1" outline="0" fieldPosition="0">
        <references count="6">
          <reference field="5" count="1" selected="0">
            <x v="8"/>
          </reference>
          <reference field="11" count="1" selected="0">
            <x v="80"/>
          </reference>
          <reference field="12" count="1">
            <x v="44"/>
          </reference>
          <reference field="27" count="1" selected="0">
            <x v="0"/>
          </reference>
          <reference field="28" count="1" selected="0">
            <x v="1"/>
          </reference>
          <reference field="33" count="1" selected="0">
            <x v="3"/>
          </reference>
        </references>
      </pivotArea>
    </format>
    <format dxfId="558">
      <pivotArea dataOnly="0" labelOnly="1" outline="0" fieldPosition="0">
        <references count="6">
          <reference field="5" count="1" selected="0">
            <x v="8"/>
          </reference>
          <reference field="11" count="1" selected="0">
            <x v="10"/>
          </reference>
          <reference field="12" count="1">
            <x v="38"/>
          </reference>
          <reference field="27" count="1" selected="0">
            <x v="0"/>
          </reference>
          <reference field="28" count="1" selected="0">
            <x v="4"/>
          </reference>
          <reference field="33" count="1" selected="0">
            <x v="2"/>
          </reference>
        </references>
      </pivotArea>
    </format>
    <format dxfId="557">
      <pivotArea dataOnly="0" labelOnly="1" outline="0" fieldPosition="0">
        <references count="6">
          <reference field="5" count="1" selected="0">
            <x v="8"/>
          </reference>
          <reference field="11" count="1" selected="0">
            <x v="38"/>
          </reference>
          <reference field="12" count="1">
            <x v="41"/>
          </reference>
          <reference field="27" count="1" selected="0">
            <x v="0"/>
          </reference>
          <reference field="28" count="1" selected="0">
            <x v="4"/>
          </reference>
          <reference field="33" count="1" selected="0">
            <x v="2"/>
          </reference>
        </references>
      </pivotArea>
    </format>
    <format dxfId="556">
      <pivotArea dataOnly="0" labelOnly="1" outline="0" fieldPosition="0">
        <references count="6">
          <reference field="5" count="1" selected="0">
            <x v="8"/>
          </reference>
          <reference field="11" count="1" selected="0">
            <x v="62"/>
          </reference>
          <reference field="12" count="1">
            <x v="115"/>
          </reference>
          <reference field="27" count="1" selected="0">
            <x v="0"/>
          </reference>
          <reference field="28" count="1" selected="0">
            <x v="4"/>
          </reference>
          <reference field="33" count="1" selected="0">
            <x v="2"/>
          </reference>
        </references>
      </pivotArea>
    </format>
    <format dxfId="555">
      <pivotArea dataOnly="0" labelOnly="1" outline="0" fieldPosition="0">
        <references count="6">
          <reference field="5" count="1" selected="0">
            <x v="8"/>
          </reference>
          <reference field="11" count="1" selected="0">
            <x v="82"/>
          </reference>
          <reference field="12" count="1">
            <x v="55"/>
          </reference>
          <reference field="27" count="1" selected="0">
            <x v="0"/>
          </reference>
          <reference field="28" count="1" selected="0">
            <x v="4"/>
          </reference>
          <reference field="33" count="1" selected="0">
            <x v="2"/>
          </reference>
        </references>
      </pivotArea>
    </format>
    <format dxfId="554">
      <pivotArea dataOnly="0" labelOnly="1" outline="0" fieldPosition="0">
        <references count="6">
          <reference field="5" count="1" selected="0">
            <x v="8"/>
          </reference>
          <reference field="11" count="1" selected="0">
            <x v="83"/>
          </reference>
          <reference field="12" count="1">
            <x v="92"/>
          </reference>
          <reference field="27" count="1" selected="0">
            <x v="0"/>
          </reference>
          <reference field="28" count="1" selected="0">
            <x v="4"/>
          </reference>
          <reference field="33" count="1" selected="0">
            <x v="2"/>
          </reference>
        </references>
      </pivotArea>
    </format>
    <format dxfId="553">
      <pivotArea dataOnly="0" labelOnly="1" outline="0" fieldPosition="0">
        <references count="6">
          <reference field="5" count="1" selected="0">
            <x v="8"/>
          </reference>
          <reference field="11" count="1" selected="0">
            <x v="95"/>
          </reference>
          <reference field="12" count="1">
            <x v="45"/>
          </reference>
          <reference field="27" count="1" selected="0">
            <x v="0"/>
          </reference>
          <reference field="28" count="1" selected="0">
            <x v="4"/>
          </reference>
          <reference field="33" count="1" selected="0">
            <x v="2"/>
          </reference>
        </references>
      </pivotArea>
    </format>
    <format dxfId="552">
      <pivotArea dataOnly="0" labelOnly="1" outline="0" fieldPosition="0">
        <references count="1">
          <reference field="5" count="1">
            <x v="8"/>
          </reference>
        </references>
      </pivotArea>
    </format>
    <format dxfId="551">
      <pivotArea grandRow="1" outline="0" collapsedLevelsAreSubtotals="1" fieldPosition="0"/>
    </format>
    <format dxfId="550">
      <pivotArea dataOnly="0" labelOnly="1" grandRow="1" outline="0" fieldPosition="0"/>
    </format>
    <format dxfId="549">
      <pivotArea outline="0" collapsedLevelsAreSubtotals="1" fieldPosition="0">
        <references count="1">
          <reference field="5" count="1" selected="0" defaultSubtotal="1">
            <x v="9"/>
          </reference>
        </references>
      </pivotArea>
    </format>
    <format dxfId="548">
      <pivotArea dataOnly="0" labelOnly="1" outline="0" fieldPosition="0">
        <references count="1">
          <reference field="5" count="1">
            <x v="9"/>
          </reference>
        </references>
      </pivotArea>
    </format>
    <format dxfId="547">
      <pivotArea dataOnly="0" labelOnly="1" outline="0" fieldPosition="0">
        <references count="1">
          <reference field="5" count="1" defaultSubtotal="1">
            <x v="9"/>
          </reference>
        </references>
      </pivotArea>
    </format>
    <format dxfId="546">
      <pivotArea dataOnly="0" labelOnly="1" outline="0" fieldPosition="0">
        <references count="2">
          <reference field="5" count="1" selected="0">
            <x v="9"/>
          </reference>
          <reference field="28" count="1">
            <x v="2"/>
          </reference>
        </references>
      </pivotArea>
    </format>
    <format dxfId="545">
      <pivotArea dataOnly="0" labelOnly="1" outline="0" fieldPosition="0">
        <references count="3">
          <reference field="5" count="1" selected="0">
            <x v="9"/>
          </reference>
          <reference field="27" count="1">
            <x v="1"/>
          </reference>
          <reference field="28" count="1" selected="0">
            <x v="2"/>
          </reference>
        </references>
      </pivotArea>
    </format>
    <format dxfId="544">
      <pivotArea dataOnly="0" labelOnly="1" outline="0" fieldPosition="0">
        <references count="4">
          <reference field="5" count="1" selected="0">
            <x v="9"/>
          </reference>
          <reference field="27" count="1" selected="0">
            <x v="1"/>
          </reference>
          <reference field="28" count="1" selected="0">
            <x v="2"/>
          </reference>
          <reference field="33" count="1">
            <x v="0"/>
          </reference>
        </references>
      </pivotArea>
    </format>
    <format dxfId="543">
      <pivotArea dataOnly="0" labelOnly="1" outline="0" fieldPosition="0">
        <references count="5">
          <reference field="5" count="1" selected="0">
            <x v="9"/>
          </reference>
          <reference field="11" count="2">
            <x v="35"/>
            <x v="91"/>
          </reference>
          <reference field="27" count="1" selected="0">
            <x v="1"/>
          </reference>
          <reference field="28" count="1" selected="0">
            <x v="2"/>
          </reference>
          <reference field="33" count="1" selected="0">
            <x v="0"/>
          </reference>
        </references>
      </pivotArea>
    </format>
    <format dxfId="542">
      <pivotArea dataOnly="0" labelOnly="1" outline="0" fieldPosition="0">
        <references count="6">
          <reference field="5" count="1" selected="0">
            <x v="9"/>
          </reference>
          <reference field="11" count="1" selected="0">
            <x v="35"/>
          </reference>
          <reference field="12" count="1">
            <x v="12"/>
          </reference>
          <reference field="27" count="1" selected="0">
            <x v="1"/>
          </reference>
          <reference field="28" count="1" selected="0">
            <x v="2"/>
          </reference>
          <reference field="33" count="1" selected="0">
            <x v="0"/>
          </reference>
        </references>
      </pivotArea>
    </format>
    <format dxfId="541">
      <pivotArea dataOnly="0" labelOnly="1" outline="0" fieldPosition="0">
        <references count="6">
          <reference field="5" count="1" selected="0">
            <x v="9"/>
          </reference>
          <reference field="11" count="1" selected="0">
            <x v="91"/>
          </reference>
          <reference field="12" count="1">
            <x v="13"/>
          </reference>
          <reference field="27" count="1" selected="0">
            <x v="1"/>
          </reference>
          <reference field="28" count="1" selected="0">
            <x v="2"/>
          </reference>
          <reference field="33" count="1" selected="0">
            <x v="0"/>
          </reference>
        </references>
      </pivotArea>
    </format>
    <format dxfId="540">
      <pivotArea outline="0" collapsedLevelsAreSubtotals="1" fieldPosition="0">
        <references count="6">
          <reference field="5" count="1" selected="0">
            <x v="9"/>
          </reference>
          <reference field="11" count="2" selected="0">
            <x v="35"/>
            <x v="91"/>
          </reference>
          <reference field="12" count="2" selected="0">
            <x v="12"/>
            <x v="13"/>
          </reference>
          <reference field="27" count="1" selected="0">
            <x v="1"/>
          </reference>
          <reference field="28" count="1" selected="0">
            <x v="2"/>
          </reference>
          <reference field="33" count="1" selected="0">
            <x v="0"/>
          </reference>
        </references>
      </pivotArea>
    </format>
    <format dxfId="539">
      <pivotArea dataOnly="0" labelOnly="1" outline="0" fieldPosition="0">
        <references count="1">
          <reference field="5" count="1">
            <x v="9"/>
          </reference>
        </references>
      </pivotArea>
    </format>
    <format dxfId="538">
      <pivotArea dataOnly="0" labelOnly="1" outline="0" fieldPosition="0">
        <references count="2">
          <reference field="5" count="1" selected="0">
            <x v="9"/>
          </reference>
          <reference field="28" count="1">
            <x v="2"/>
          </reference>
        </references>
      </pivotArea>
    </format>
    <format dxfId="537">
      <pivotArea dataOnly="0" labelOnly="1" outline="0" fieldPosition="0">
        <references count="3">
          <reference field="5" count="1" selected="0">
            <x v="9"/>
          </reference>
          <reference field="27" count="1">
            <x v="1"/>
          </reference>
          <reference field="28" count="1" selected="0">
            <x v="2"/>
          </reference>
        </references>
      </pivotArea>
    </format>
    <format dxfId="536">
      <pivotArea dataOnly="0" labelOnly="1" outline="0" fieldPosition="0">
        <references count="4">
          <reference field="5" count="1" selected="0">
            <x v="9"/>
          </reference>
          <reference field="27" count="1" selected="0">
            <x v="1"/>
          </reference>
          <reference field="28" count="1" selected="0">
            <x v="2"/>
          </reference>
          <reference field="33" count="1">
            <x v="0"/>
          </reference>
        </references>
      </pivotArea>
    </format>
    <format dxfId="535">
      <pivotArea dataOnly="0" labelOnly="1" outline="0" fieldPosition="0">
        <references count="5">
          <reference field="5" count="1" selected="0">
            <x v="9"/>
          </reference>
          <reference field="11" count="2">
            <x v="35"/>
            <x v="91"/>
          </reference>
          <reference field="27" count="1" selected="0">
            <x v="1"/>
          </reference>
          <reference field="28" count="1" selected="0">
            <x v="2"/>
          </reference>
          <reference field="33" count="1" selected="0">
            <x v="0"/>
          </reference>
        </references>
      </pivotArea>
    </format>
    <format dxfId="534">
      <pivotArea dataOnly="0" labelOnly="1" outline="0" fieldPosition="0">
        <references count="6">
          <reference field="5" count="1" selected="0">
            <x v="9"/>
          </reference>
          <reference field="11" count="1" selected="0">
            <x v="35"/>
          </reference>
          <reference field="12" count="1">
            <x v="12"/>
          </reference>
          <reference field="27" count="1" selected="0">
            <x v="1"/>
          </reference>
          <reference field="28" count="1" selected="0">
            <x v="2"/>
          </reference>
          <reference field="33" count="1" selected="0">
            <x v="0"/>
          </reference>
        </references>
      </pivotArea>
    </format>
    <format dxfId="533">
      <pivotArea dataOnly="0" labelOnly="1" outline="0" fieldPosition="0">
        <references count="6">
          <reference field="5" count="1" selected="0">
            <x v="9"/>
          </reference>
          <reference field="11" count="1" selected="0">
            <x v="91"/>
          </reference>
          <reference field="12" count="1">
            <x v="13"/>
          </reference>
          <reference field="27" count="1" selected="0">
            <x v="1"/>
          </reference>
          <reference field="28" count="1" selected="0">
            <x v="2"/>
          </reference>
          <reference field="33" count="1" selected="0">
            <x v="0"/>
          </reference>
        </references>
      </pivotArea>
    </format>
    <format dxfId="532">
      <pivotArea dataOnly="0" labelOnly="1" outline="0" fieldPosition="0">
        <references count="1">
          <reference field="5" count="1">
            <x v="9"/>
          </reference>
        </references>
      </pivotArea>
    </format>
    <format dxfId="531">
      <pivotArea dataOnly="0" labelOnly="1" outline="0" fieldPosition="0">
        <references count="6">
          <reference field="5" count="1" selected="0">
            <x v="8"/>
          </reference>
          <reference field="11" count="1" selected="0">
            <x v="50"/>
          </reference>
          <reference field="12" count="1">
            <x v="91"/>
          </reference>
          <reference field="27" count="1" selected="0">
            <x v="1"/>
          </reference>
          <reference field="28" count="1" selected="0">
            <x v="0"/>
          </reference>
          <reference field="33" count="1" selected="0">
            <x v="4"/>
          </reference>
        </references>
      </pivotArea>
    </format>
    <format dxfId="530">
      <pivotArea dataOnly="0" labelOnly="1" outline="0" fieldPosition="0">
        <references count="6">
          <reference field="5" count="1" selected="0">
            <x v="8"/>
          </reference>
          <reference field="11" count="1" selected="0">
            <x v="78"/>
          </reference>
          <reference field="12" count="1">
            <x v="110"/>
          </reference>
          <reference field="27" count="1" selected="0">
            <x v="1"/>
          </reference>
          <reference field="28" count="1" selected="0">
            <x v="0"/>
          </reference>
          <reference field="33" count="1" selected="0">
            <x v="4"/>
          </reference>
        </references>
      </pivotArea>
    </format>
    <format dxfId="529">
      <pivotArea dataOnly="0" labelOnly="1" outline="0" fieldPosition="0">
        <references count="6">
          <reference field="5" count="1" selected="0">
            <x v="8"/>
          </reference>
          <reference field="11" count="1" selected="0">
            <x v="79"/>
          </reference>
          <reference field="12" count="1">
            <x v="111"/>
          </reference>
          <reference field="27" count="1" selected="0">
            <x v="1"/>
          </reference>
          <reference field="28" count="1" selected="0">
            <x v="0"/>
          </reference>
          <reference field="33" count="1" selected="0">
            <x v="4"/>
          </reference>
        </references>
      </pivotArea>
    </format>
    <format dxfId="528">
      <pivotArea dataOnly="0" labelOnly="1" outline="0" fieldPosition="0">
        <references count="6">
          <reference field="5" count="1" selected="0">
            <x v="8"/>
          </reference>
          <reference field="11" count="1" selected="0">
            <x v="102"/>
          </reference>
          <reference field="12" count="1">
            <x v="47"/>
          </reference>
          <reference field="27" count="1" selected="0">
            <x v="1"/>
          </reference>
          <reference field="28" count="1" selected="0">
            <x v="0"/>
          </reference>
          <reference field="33" count="1" selected="0">
            <x v="4"/>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4" firstHeaderRow="0" firstDataRow="1" firstDataCol="3" rowPageCount="2" colPageCount="1"/>
  <pivotFields count="36">
    <pivotField axis="axisPage" compact="0" outline="0" multipleItemSelectionAllowed="1" showAll="0">
      <items count="3">
        <item h="1" x="1"/>
        <item x="0"/>
        <item t="default"/>
      </items>
    </pivotField>
    <pivotField compact="0" outline="0" showAll="0"/>
    <pivotField compact="0" outline="0" showAll="0"/>
    <pivotField compact="0" outline="0" showAll="0"/>
    <pivotField compact="0" outline="0" showAll="0"/>
    <pivotField axis="axisRow" compact="0" outline="0" subtotalTop="0" showAll="0">
      <items count="11">
        <item h="1" x="0"/>
        <item h="1" x="2"/>
        <item h="1" x="4"/>
        <item h="1" x="3"/>
        <item h="1" x="5"/>
        <item x="7"/>
        <item h="1" x="8"/>
        <item h="1" x="9"/>
        <item x="1"/>
        <item x="6"/>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7">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71"/>
        <item x="42"/>
        <item x="6"/>
        <item x="102"/>
        <item x="24"/>
        <item x="43"/>
        <item x="83"/>
        <item x="44"/>
        <item x="18"/>
        <item x="75"/>
        <item x="90"/>
        <item x="7"/>
        <item x="25"/>
        <item x="53"/>
        <item x="8"/>
        <item x="103"/>
        <item x="45"/>
        <item x="54"/>
        <item x="100"/>
        <item x="9"/>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13"/>
        <item x="28"/>
        <item x="72"/>
        <item x="65"/>
        <item x="46"/>
        <item x="66"/>
        <item x="112"/>
        <item x="113"/>
        <item x="99"/>
        <item x="14"/>
        <item x="37"/>
        <item x="93"/>
        <item x="15"/>
        <item x="114"/>
        <item x="115"/>
        <item x="69"/>
        <item x="116"/>
        <item x="16"/>
        <item x="17"/>
        <item x="70"/>
        <item x="30"/>
        <item x="39"/>
        <item x="47"/>
        <item x="91"/>
        <item x="0"/>
        <item x="34"/>
        <item x="36"/>
        <item x="38"/>
      </items>
    </pivotField>
    <pivotField axis="axisRow" compact="0" outline="0" showAll="0" defaultSubtotal="0">
      <items count="117">
        <item x="61"/>
        <item x="65"/>
        <item x="63"/>
        <item x="29"/>
        <item x="66"/>
        <item x="60"/>
        <item x="93"/>
        <item x="62"/>
        <item x="67"/>
        <item x="70"/>
        <item x="100"/>
        <item x="68"/>
        <item x="71"/>
        <item x="72"/>
        <item x="74"/>
        <item x="73"/>
        <item x="76"/>
        <item x="75"/>
        <item x="77"/>
        <item x="25"/>
        <item x="28"/>
        <item x="19"/>
        <item x="26"/>
        <item x="21"/>
        <item x="20"/>
        <item x="23"/>
        <item x="22"/>
        <item x="30"/>
        <item x="27"/>
        <item x="24"/>
        <item x="84"/>
        <item x="81"/>
        <item x="82"/>
        <item x="80"/>
        <item x="18"/>
        <item x="0"/>
        <item x="79"/>
        <item x="78"/>
        <item x="85"/>
        <item x="48"/>
        <item x="92"/>
        <item x="102"/>
        <item x="55"/>
        <item x="59"/>
        <item x="109"/>
        <item x="112"/>
        <item x="99"/>
        <item x="114"/>
        <item x="52"/>
        <item x="97"/>
        <item x="95"/>
        <item x="96"/>
        <item x="53"/>
        <item x="54"/>
        <item x="49"/>
        <item x="110"/>
        <item x="50"/>
        <item x="116"/>
        <item x="2"/>
        <item x="3"/>
        <item x="5"/>
        <item x="7"/>
        <item x="9"/>
        <item x="10"/>
        <item x="11"/>
        <item x="13"/>
        <item x="15"/>
        <item x="12"/>
        <item x="1"/>
        <item x="14"/>
        <item x="6"/>
        <item x="8"/>
        <item x="4"/>
        <item x="17"/>
        <item x="16"/>
        <item x="45"/>
        <item x="46"/>
        <item x="44"/>
        <item x="40"/>
        <item x="43"/>
        <item x="42"/>
        <item x="35"/>
        <item x="34"/>
        <item x="31"/>
        <item x="39"/>
        <item x="37"/>
        <item x="90"/>
        <item x="32"/>
        <item x="89"/>
        <item x="56"/>
        <item x="115"/>
        <item x="103"/>
        <item x="111"/>
        <item x="36"/>
        <item x="38"/>
        <item x="94"/>
        <item x="101"/>
        <item x="104"/>
        <item x="57"/>
        <item x="58"/>
        <item x="113"/>
        <item x="51"/>
        <item x="86"/>
        <item x="64"/>
        <item x="98"/>
        <item x="41"/>
        <item x="47"/>
        <item x="91"/>
        <item x="33"/>
        <item x="83"/>
        <item x="107"/>
        <item x="108"/>
        <item x="87"/>
        <item x="88"/>
        <item x="105"/>
        <item x="106"/>
        <item x="69"/>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4">
        <item x="0"/>
        <item x="3"/>
        <item h="1" x="2"/>
        <item h="1" x="1"/>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items count="3">
        <item x="2"/>
        <item x="0"/>
        <item x="1"/>
      </items>
    </pivotField>
    <pivotField compact="0" outline="0" showAll="0" defaultSubtotal="0">
      <items count="6">
        <item x="0"/>
        <item x="4"/>
        <item x="3"/>
        <item x="2"/>
        <item x="1"/>
        <item x="5"/>
      </items>
    </pivotField>
    <pivotField compact="0" outline="0" showAll="0"/>
    <pivotField compact="0" outline="0" showAll="0"/>
    <pivotField compact="0" numFmtId="15" outline="0" showAll="0"/>
    <pivotField compact="0" outline="0" showAll="0"/>
    <pivotField compact="0" outline="0" showAll="0" defaultSubtotal="0">
      <items count="6">
        <item x="2"/>
        <item x="1"/>
        <item x="3"/>
        <item x="4"/>
        <item x="0"/>
        <item x="5"/>
      </items>
    </pivotField>
    <pivotField dataField="1" compact="0" numFmtId="9" outline="0" showAll="0" defaultSubtotal="0"/>
    <pivotField compact="0" outline="0"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3">
    <field x="5"/>
    <field x="11"/>
    <field x="12"/>
  </rowFields>
  <rowItems count="27">
    <i>
      <x v="5"/>
      <x v="4"/>
      <x v="15"/>
    </i>
    <i r="1">
      <x v="9"/>
      <x v="14"/>
    </i>
    <i r="1">
      <x v="44"/>
      <x v="17"/>
    </i>
    <i r="1">
      <x v="56"/>
      <x v="16"/>
    </i>
    <i r="1">
      <x v="87"/>
      <x v="18"/>
    </i>
    <i t="default">
      <x v="5"/>
    </i>
    <i>
      <x v="8"/>
      <x v="10"/>
      <x v="38"/>
    </i>
    <i r="1">
      <x v="14"/>
      <x v="112"/>
    </i>
    <i r="1">
      <x v="15"/>
      <x v="113"/>
    </i>
    <i r="1">
      <x v="24"/>
      <x v="40"/>
    </i>
    <i r="1">
      <x v="38"/>
      <x v="41"/>
    </i>
    <i r="1">
      <x v="50"/>
      <x v="91"/>
    </i>
    <i r="1">
      <x v="60"/>
      <x v="97"/>
    </i>
    <i r="1">
      <x v="61"/>
      <x v="114"/>
    </i>
    <i r="1">
      <x v="62"/>
      <x v="115"/>
    </i>
    <i r="1">
      <x v="78"/>
      <x v="110"/>
    </i>
    <i r="1">
      <x v="79"/>
      <x v="111"/>
    </i>
    <i r="1">
      <x v="80"/>
      <x v="44"/>
    </i>
    <i r="1">
      <x v="82"/>
      <x v="55"/>
    </i>
    <i r="1">
      <x v="83"/>
      <x v="92"/>
    </i>
    <i r="1">
      <x v="95"/>
      <x v="45"/>
    </i>
    <i r="1">
      <x v="102"/>
      <x v="47"/>
    </i>
    <i t="default">
      <x v="8"/>
    </i>
    <i>
      <x v="9"/>
      <x v="35"/>
      <x v="12"/>
    </i>
    <i r="1">
      <x v="91"/>
      <x v="13"/>
    </i>
    <i t="default">
      <x v="9"/>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_coverage" fld="34" baseField="0" baseItem="0"/>
  </dataFields>
  <formats count="75">
    <format dxfId="517">
      <pivotArea dataOnly="0" outline="0" fieldPosition="0">
        <references count="1">
          <reference field="5" count="0" defaultSubtotal="1"/>
        </references>
      </pivotArea>
    </format>
    <format dxfId="516">
      <pivotArea outline="0" fieldPosition="0">
        <references count="1">
          <reference field="4294967294" count="1">
            <x v="1"/>
          </reference>
        </references>
      </pivotArea>
    </format>
    <format dxfId="515">
      <pivotArea field="5" type="button" dataOnly="0" labelOnly="1" outline="0" axis="axisRow" fieldPosition="0"/>
    </format>
    <format dxfId="514">
      <pivotArea field="28" type="button" dataOnly="0" labelOnly="1" outline="0"/>
    </format>
    <format dxfId="513">
      <pivotArea field="27" type="button" dataOnly="0" labelOnly="1" outline="0"/>
    </format>
    <format dxfId="512">
      <pivotArea field="11" type="button" dataOnly="0" labelOnly="1" outline="0" axis="axisRow" fieldPosition="1"/>
    </format>
    <format dxfId="511">
      <pivotArea dataOnly="0" labelOnly="1" outline="0" axis="axisValues" fieldPosition="0"/>
    </format>
    <format dxfId="510">
      <pivotArea dataOnly="0" labelOnly="1" outline="0" fieldPosition="0">
        <references count="1">
          <reference field="5" count="1">
            <x v="5"/>
          </reference>
        </references>
      </pivotArea>
    </format>
    <format dxfId="509">
      <pivotArea outline="0" collapsedLevelsAreSubtotals="1" fieldPosition="0">
        <references count="1">
          <reference field="5" count="1" selected="0" defaultSubtotal="1">
            <x v="5"/>
          </reference>
        </references>
      </pivotArea>
    </format>
    <format dxfId="508">
      <pivotArea dataOnly="0" labelOnly="1" outline="0" fieldPosition="0">
        <references count="1">
          <reference field="5" count="1" defaultSubtotal="1">
            <x v="5"/>
          </reference>
        </references>
      </pivotArea>
    </format>
    <format dxfId="507">
      <pivotArea dataOnly="0" labelOnly="1" outline="0" fieldPosition="0">
        <references count="1">
          <reference field="5" count="1">
            <x v="8"/>
          </reference>
        </references>
      </pivotArea>
    </format>
    <format dxfId="506">
      <pivotArea outline="0" collapsedLevelsAreSubtotals="1" fieldPosition="0">
        <references count="1">
          <reference field="5" count="1" selected="0" defaultSubtotal="1">
            <x v="8"/>
          </reference>
        </references>
      </pivotArea>
    </format>
    <format dxfId="505">
      <pivotArea dataOnly="0" labelOnly="1" outline="0" fieldPosition="0">
        <references count="1">
          <reference field="5" count="1" defaultSubtotal="1">
            <x v="8"/>
          </reference>
        </references>
      </pivotArea>
    </format>
    <format dxfId="504">
      <pivotArea grandRow="1" outline="0" collapsedLevelsAreSubtotals="1" fieldPosition="0"/>
    </format>
    <format dxfId="503">
      <pivotArea dataOnly="0" labelOnly="1" grandRow="1" outline="0" fieldPosition="0"/>
    </format>
    <format dxfId="502">
      <pivotArea type="all" dataOnly="0" outline="0" fieldPosition="0"/>
    </format>
    <format dxfId="501">
      <pivotArea dataOnly="0" labelOnly="1" outline="0" fieldPosition="0">
        <references count="1">
          <reference field="11" count="0"/>
        </references>
      </pivotArea>
    </format>
    <format dxfId="500">
      <pivotArea dataOnly="0" labelOnly="1" outline="0" fieldPosition="0">
        <references count="1">
          <reference field="5" count="0"/>
        </references>
      </pivotArea>
    </format>
    <format dxfId="499">
      <pivotArea dataOnly="0" labelOnly="1" outline="0" fieldPosition="0">
        <references count="1">
          <reference field="5" count="1" defaultSubtotal="1">
            <x v="5"/>
          </reference>
        </references>
      </pivotArea>
    </format>
    <format dxfId="498">
      <pivotArea field="33" type="button" dataOnly="0" labelOnly="1" outline="0"/>
    </format>
    <format dxfId="497">
      <pivotArea field="11" type="button" dataOnly="0" labelOnly="1" outline="0" axis="axisRow" fieldPosition="1"/>
    </format>
    <format dxfId="496">
      <pivotArea field="12" type="button" dataOnly="0" labelOnly="1" outline="0" axis="axisRow" fieldPosition="2"/>
    </format>
    <format dxfId="495">
      <pivotArea outline="0" collapsedLevelsAreSubtotals="1" fieldPosition="0">
        <references count="1">
          <reference field="4294967294" count="1" selected="0">
            <x v="1"/>
          </reference>
        </references>
      </pivotArea>
    </format>
    <format dxfId="494">
      <pivotArea dataOnly="0" labelOnly="1" outline="0" fieldPosition="0">
        <references count="1">
          <reference field="4294967294" count="1">
            <x v="1"/>
          </reference>
        </references>
      </pivotArea>
    </format>
    <format dxfId="493">
      <pivotArea outline="0" collapsedLevelsAreSubtotals="1" fieldPosition="0">
        <references count="1">
          <reference field="4294967294" count="1" selected="0">
            <x v="1"/>
          </reference>
        </references>
      </pivotArea>
    </format>
    <format dxfId="492">
      <pivotArea dataOnly="0" labelOnly="1" outline="0" fieldPosition="0">
        <references count="1">
          <reference field="4294967294" count="1">
            <x v="1"/>
          </reference>
        </references>
      </pivotArea>
    </format>
    <format dxfId="491">
      <pivotArea dataOnly="0" labelOnly="1" outline="0" fieldPosition="0">
        <references count="1">
          <reference field="5" count="1" defaultSubtotal="1">
            <x v="5"/>
          </reference>
        </references>
      </pivotArea>
    </format>
    <format dxfId="490">
      <pivotArea outline="0" collapsedLevelsAreSubtotals="1" fieldPosition="0">
        <references count="1">
          <reference field="5" count="1" selected="0" defaultSubtotal="1">
            <x v="5"/>
          </reference>
        </references>
      </pivotArea>
    </format>
    <format dxfId="489">
      <pivotArea dataOnly="0" labelOnly="1" outline="0" fieldPosition="0">
        <references count="1">
          <reference field="5" count="1" defaultSubtotal="1">
            <x v="8"/>
          </reference>
        </references>
      </pivotArea>
    </format>
    <format dxfId="488">
      <pivotArea dataOnly="0" labelOnly="1" grandRow="1" outline="0" fieldPosition="0"/>
    </format>
    <format dxfId="487">
      <pivotArea outline="0" collapsedLevelsAreSubtotals="1" fieldPosition="0">
        <references count="4">
          <reference field="4294967294" count="1" selected="0">
            <x v="3"/>
          </reference>
          <reference field="5" count="1" selected="0">
            <x v="8"/>
          </reference>
          <reference field="11" count="16" selected="0">
            <x v="10"/>
            <x v="14"/>
            <x v="15"/>
            <x v="24"/>
            <x v="38"/>
            <x v="50"/>
            <x v="60"/>
            <x v="61"/>
            <x v="62"/>
            <x v="78"/>
            <x v="79"/>
            <x v="80"/>
            <x v="82"/>
            <x v="83"/>
            <x v="95"/>
            <x v="102"/>
          </reference>
          <reference field="12" count="16" selected="0">
            <x v="38"/>
            <x v="40"/>
            <x v="41"/>
            <x v="44"/>
            <x v="45"/>
            <x v="47"/>
            <x v="55"/>
            <x v="91"/>
            <x v="92"/>
            <x v="97"/>
            <x v="110"/>
            <x v="111"/>
            <x v="112"/>
            <x v="113"/>
            <x v="114"/>
            <x v="115"/>
          </reference>
        </references>
      </pivotArea>
    </format>
    <format dxfId="486">
      <pivotArea outline="0" collapsedLevelsAreSubtotals="1" fieldPosition="0">
        <references count="2">
          <reference field="4294967294" count="1" selected="0">
            <x v="3"/>
          </reference>
          <reference field="5" count="1" selected="0" defaultSubtotal="1">
            <x v="5"/>
          </reference>
        </references>
      </pivotArea>
    </format>
    <format dxfId="485">
      <pivotArea outline="0" collapsedLevelsAreSubtotals="1" fieldPosition="0">
        <references count="2">
          <reference field="4294967294" count="1" selected="0">
            <x v="3"/>
          </reference>
          <reference field="5" count="1" selected="0" defaultSubtotal="1">
            <x v="8"/>
          </reference>
        </references>
      </pivotArea>
    </format>
    <format dxfId="484">
      <pivotArea field="5" grandRow="1" outline="0" collapsedLevelsAreSubtotals="1" axis="axisRow" fieldPosition="0">
        <references count="1">
          <reference field="4294967294" count="1" selected="0">
            <x v="3"/>
          </reference>
        </references>
      </pivotArea>
    </format>
    <format dxfId="483">
      <pivotArea outline="0" collapsedLevelsAreSubtotals="1" fieldPosition="0">
        <references count="4">
          <reference field="4294967294" count="1" selected="0">
            <x v="3"/>
          </reference>
          <reference field="5" count="1" selected="0">
            <x v="5"/>
          </reference>
          <reference field="11" count="5" selected="0">
            <x v="4"/>
            <x v="9"/>
            <x v="44"/>
            <x v="56"/>
            <x v="87"/>
          </reference>
          <reference field="12" count="5" selected="0">
            <x v="14"/>
            <x v="15"/>
            <x v="16"/>
            <x v="17"/>
            <x v="18"/>
          </reference>
        </references>
      </pivotArea>
    </format>
    <format dxfId="482">
      <pivotArea dataOnly="0" labelOnly="1" outline="0" fieldPosition="0">
        <references count="1">
          <reference field="5" count="1">
            <x v="9"/>
          </reference>
        </references>
      </pivotArea>
    </format>
    <format dxfId="481">
      <pivotArea outline="0" collapsedLevelsAreSubtotals="1" fieldPosition="0">
        <references count="3">
          <reference field="5" count="1" selected="0">
            <x v="8"/>
          </reference>
          <reference field="11" count="20" selected="0">
            <x v="10"/>
            <x v="13"/>
            <x v="14"/>
            <x v="15"/>
            <x v="24"/>
            <x v="25"/>
            <x v="38"/>
            <x v="50"/>
            <x v="60"/>
            <x v="61"/>
            <x v="62"/>
            <x v="78"/>
            <x v="79"/>
            <x v="80"/>
            <x v="82"/>
            <x v="83"/>
            <x v="95"/>
            <x v="102"/>
            <x v="103"/>
            <x v="105"/>
          </reference>
          <reference field="12" count="20" selected="0">
            <x v="38"/>
            <x v="40"/>
            <x v="41"/>
            <x v="44"/>
            <x v="45"/>
            <x v="47"/>
            <x v="55"/>
            <x v="57"/>
            <x v="90"/>
            <x v="91"/>
            <x v="92"/>
            <x v="96"/>
            <x v="97"/>
            <x v="102"/>
            <x v="110"/>
            <x v="111"/>
            <x v="112"/>
            <x v="113"/>
            <x v="114"/>
            <x v="115"/>
          </reference>
        </references>
      </pivotArea>
    </format>
    <format dxfId="480">
      <pivotArea dataOnly="0" labelOnly="1" outline="0" fieldPosition="0">
        <references count="2">
          <reference field="5" count="1" selected="0">
            <x v="8"/>
          </reference>
          <reference field="11" count="20">
            <x v="10"/>
            <x v="13"/>
            <x v="14"/>
            <x v="15"/>
            <x v="24"/>
            <x v="25"/>
            <x v="38"/>
            <x v="50"/>
            <x v="60"/>
            <x v="61"/>
            <x v="62"/>
            <x v="78"/>
            <x v="79"/>
            <x v="80"/>
            <x v="82"/>
            <x v="83"/>
            <x v="95"/>
            <x v="102"/>
            <x v="103"/>
            <x v="105"/>
          </reference>
        </references>
      </pivotArea>
    </format>
    <format dxfId="479">
      <pivotArea dataOnly="0" labelOnly="1" outline="0" fieldPosition="0">
        <references count="3">
          <reference field="5" count="1" selected="0">
            <x v="8"/>
          </reference>
          <reference field="11" count="1" selected="0">
            <x v="10"/>
          </reference>
          <reference field="12" count="1">
            <x v="38"/>
          </reference>
        </references>
      </pivotArea>
    </format>
    <format dxfId="478">
      <pivotArea dataOnly="0" labelOnly="1" outline="0" fieldPosition="0">
        <references count="3">
          <reference field="5" count="1" selected="0">
            <x v="8"/>
          </reference>
          <reference field="11" count="1" selected="0">
            <x v="13"/>
          </reference>
          <reference field="12" count="1">
            <x v="102"/>
          </reference>
        </references>
      </pivotArea>
    </format>
    <format dxfId="477">
      <pivotArea dataOnly="0" labelOnly="1" outline="0" fieldPosition="0">
        <references count="3">
          <reference field="5" count="1" selected="0">
            <x v="8"/>
          </reference>
          <reference field="11" count="1" selected="0">
            <x v="14"/>
          </reference>
          <reference field="12" count="1">
            <x v="112"/>
          </reference>
        </references>
      </pivotArea>
    </format>
    <format dxfId="476">
      <pivotArea dataOnly="0" labelOnly="1" outline="0" fieldPosition="0">
        <references count="3">
          <reference field="5" count="1" selected="0">
            <x v="8"/>
          </reference>
          <reference field="11" count="1" selected="0">
            <x v="15"/>
          </reference>
          <reference field="12" count="1">
            <x v="113"/>
          </reference>
        </references>
      </pivotArea>
    </format>
    <format dxfId="475">
      <pivotArea dataOnly="0" labelOnly="1" outline="0" fieldPosition="0">
        <references count="3">
          <reference field="5" count="1" selected="0">
            <x v="8"/>
          </reference>
          <reference field="11" count="1" selected="0">
            <x v="24"/>
          </reference>
          <reference field="12" count="1">
            <x v="40"/>
          </reference>
        </references>
      </pivotArea>
    </format>
    <format dxfId="474">
      <pivotArea dataOnly="0" labelOnly="1" outline="0" fieldPosition="0">
        <references count="3">
          <reference field="5" count="1" selected="0">
            <x v="8"/>
          </reference>
          <reference field="11" count="1" selected="0">
            <x v="25"/>
          </reference>
          <reference field="12" count="1">
            <x v="96"/>
          </reference>
        </references>
      </pivotArea>
    </format>
    <format dxfId="473">
      <pivotArea dataOnly="0" labelOnly="1" outline="0" fieldPosition="0">
        <references count="3">
          <reference field="5" count="1" selected="0">
            <x v="8"/>
          </reference>
          <reference field="11" count="1" selected="0">
            <x v="38"/>
          </reference>
          <reference field="12" count="1">
            <x v="41"/>
          </reference>
        </references>
      </pivotArea>
    </format>
    <format dxfId="472">
      <pivotArea dataOnly="0" labelOnly="1" outline="0" fieldPosition="0">
        <references count="3">
          <reference field="5" count="1" selected="0">
            <x v="8"/>
          </reference>
          <reference field="11" count="1" selected="0">
            <x v="50"/>
          </reference>
          <reference field="12" count="1">
            <x v="91"/>
          </reference>
        </references>
      </pivotArea>
    </format>
    <format dxfId="471">
      <pivotArea dataOnly="0" labelOnly="1" outline="0" fieldPosition="0">
        <references count="3">
          <reference field="5" count="1" selected="0">
            <x v="8"/>
          </reference>
          <reference field="11" count="1" selected="0">
            <x v="60"/>
          </reference>
          <reference field="12" count="1">
            <x v="97"/>
          </reference>
        </references>
      </pivotArea>
    </format>
    <format dxfId="470">
      <pivotArea dataOnly="0" labelOnly="1" outline="0" fieldPosition="0">
        <references count="3">
          <reference field="5" count="1" selected="0">
            <x v="8"/>
          </reference>
          <reference field="11" count="1" selected="0">
            <x v="61"/>
          </reference>
          <reference field="12" count="1">
            <x v="114"/>
          </reference>
        </references>
      </pivotArea>
    </format>
    <format dxfId="469">
      <pivotArea dataOnly="0" labelOnly="1" outline="0" fieldPosition="0">
        <references count="3">
          <reference field="5" count="1" selected="0">
            <x v="8"/>
          </reference>
          <reference field="11" count="1" selected="0">
            <x v="62"/>
          </reference>
          <reference field="12" count="1">
            <x v="115"/>
          </reference>
        </references>
      </pivotArea>
    </format>
    <format dxfId="468">
      <pivotArea dataOnly="0" labelOnly="1" outline="0" fieldPosition="0">
        <references count="3">
          <reference field="5" count="1" selected="0">
            <x v="8"/>
          </reference>
          <reference field="11" count="1" selected="0">
            <x v="78"/>
          </reference>
          <reference field="12" count="1">
            <x v="110"/>
          </reference>
        </references>
      </pivotArea>
    </format>
    <format dxfId="467">
      <pivotArea dataOnly="0" labelOnly="1" outline="0" fieldPosition="0">
        <references count="3">
          <reference field="5" count="1" selected="0">
            <x v="8"/>
          </reference>
          <reference field="11" count="1" selected="0">
            <x v="79"/>
          </reference>
          <reference field="12" count="1">
            <x v="111"/>
          </reference>
        </references>
      </pivotArea>
    </format>
    <format dxfId="466">
      <pivotArea dataOnly="0" labelOnly="1" outline="0" fieldPosition="0">
        <references count="3">
          <reference field="5" count="1" selected="0">
            <x v="8"/>
          </reference>
          <reference field="11" count="1" selected="0">
            <x v="80"/>
          </reference>
          <reference field="12" count="1">
            <x v="44"/>
          </reference>
        </references>
      </pivotArea>
    </format>
    <format dxfId="465">
      <pivotArea dataOnly="0" labelOnly="1" outline="0" fieldPosition="0">
        <references count="3">
          <reference field="5" count="1" selected="0">
            <x v="8"/>
          </reference>
          <reference field="11" count="1" selected="0">
            <x v="82"/>
          </reference>
          <reference field="12" count="1">
            <x v="55"/>
          </reference>
        </references>
      </pivotArea>
    </format>
    <format dxfId="464">
      <pivotArea dataOnly="0" labelOnly="1" outline="0" fieldPosition="0">
        <references count="3">
          <reference field="5" count="1" selected="0">
            <x v="8"/>
          </reference>
          <reference field="11" count="1" selected="0">
            <x v="83"/>
          </reference>
          <reference field="12" count="1">
            <x v="92"/>
          </reference>
        </references>
      </pivotArea>
    </format>
    <format dxfId="463">
      <pivotArea dataOnly="0" labelOnly="1" outline="0" fieldPosition="0">
        <references count="3">
          <reference field="5" count="1" selected="0">
            <x v="8"/>
          </reference>
          <reference field="11" count="1" selected="0">
            <x v="95"/>
          </reference>
          <reference field="12" count="1">
            <x v="45"/>
          </reference>
        </references>
      </pivotArea>
    </format>
    <format dxfId="462">
      <pivotArea dataOnly="0" labelOnly="1" outline="0" fieldPosition="0">
        <references count="3">
          <reference field="5" count="1" selected="0">
            <x v="8"/>
          </reference>
          <reference field="11" count="1" selected="0">
            <x v="102"/>
          </reference>
          <reference field="12" count="1">
            <x v="47"/>
          </reference>
        </references>
      </pivotArea>
    </format>
    <format dxfId="461">
      <pivotArea dataOnly="0" labelOnly="1" outline="0" fieldPosition="0">
        <references count="3">
          <reference field="5" count="1" selected="0">
            <x v="8"/>
          </reference>
          <reference field="11" count="1" selected="0">
            <x v="103"/>
          </reference>
          <reference field="12" count="1">
            <x v="90"/>
          </reference>
        </references>
      </pivotArea>
    </format>
    <format dxfId="460">
      <pivotArea dataOnly="0" labelOnly="1" outline="0" fieldPosition="0">
        <references count="3">
          <reference field="5" count="1" selected="0">
            <x v="8"/>
          </reference>
          <reference field="11" count="1" selected="0">
            <x v="105"/>
          </reference>
          <reference field="12" count="1">
            <x v="57"/>
          </reference>
        </references>
      </pivotArea>
    </format>
    <format dxfId="459">
      <pivotArea outline="0" collapsedLevelsAreSubtotals="1" fieldPosition="0">
        <references count="3">
          <reference field="5" count="1" selected="0">
            <x v="9"/>
          </reference>
          <reference field="11" count="2" selected="0">
            <x v="35"/>
            <x v="91"/>
          </reference>
          <reference field="12" count="2" selected="0">
            <x v="12"/>
            <x v="13"/>
          </reference>
        </references>
      </pivotArea>
    </format>
    <format dxfId="458">
      <pivotArea dataOnly="0" labelOnly="1" outline="0" fieldPosition="0">
        <references count="2">
          <reference field="5" count="1" selected="0">
            <x v="9"/>
          </reference>
          <reference field="11" count="2">
            <x v="35"/>
            <x v="91"/>
          </reference>
        </references>
      </pivotArea>
    </format>
    <format dxfId="457">
      <pivotArea dataOnly="0" labelOnly="1" outline="0" fieldPosition="0">
        <references count="3">
          <reference field="5" count="1" selected="0">
            <x v="9"/>
          </reference>
          <reference field="11" count="1" selected="0">
            <x v="35"/>
          </reference>
          <reference field="12" count="1">
            <x v="12"/>
          </reference>
        </references>
      </pivotArea>
    </format>
    <format dxfId="456">
      <pivotArea dataOnly="0" labelOnly="1" outline="0" fieldPosition="0">
        <references count="3">
          <reference field="5" count="1" selected="0">
            <x v="9"/>
          </reference>
          <reference field="11" count="1" selected="0">
            <x v="91"/>
          </reference>
          <reference field="12" count="1">
            <x v="13"/>
          </reference>
        </references>
      </pivotArea>
    </format>
    <format dxfId="455">
      <pivotArea outline="0" collapsedLevelsAreSubtotals="1" fieldPosition="0">
        <references count="1">
          <reference field="5" count="1" selected="0" defaultSubtotal="1">
            <x v="9"/>
          </reference>
        </references>
      </pivotArea>
    </format>
    <format dxfId="454">
      <pivotArea dataOnly="0" labelOnly="1" outline="0" fieldPosition="0">
        <references count="1">
          <reference field="5" count="1" defaultSubtotal="1">
            <x v="9"/>
          </reference>
        </references>
      </pivotArea>
    </format>
    <format dxfId="453">
      <pivotArea outline="0" collapsedLevelsAreSubtotals="1" fieldPosition="0">
        <references count="3">
          <reference field="5" count="1" selected="0">
            <x v="5"/>
          </reference>
          <reference field="11" count="5" selected="0">
            <x v="4"/>
            <x v="9"/>
            <x v="44"/>
            <x v="56"/>
            <x v="87"/>
          </reference>
          <reference field="12" count="5" selected="0">
            <x v="14"/>
            <x v="15"/>
            <x v="16"/>
            <x v="17"/>
            <x v="18"/>
          </reference>
        </references>
      </pivotArea>
    </format>
    <format dxfId="452">
      <pivotArea dataOnly="0" labelOnly="1" outline="0" fieldPosition="0">
        <references count="2">
          <reference field="5" count="1" selected="0">
            <x v="5"/>
          </reference>
          <reference field="11" count="5">
            <x v="4"/>
            <x v="9"/>
            <x v="44"/>
            <x v="56"/>
            <x v="87"/>
          </reference>
        </references>
      </pivotArea>
    </format>
    <format dxfId="451">
      <pivotArea dataOnly="0" labelOnly="1" outline="0" fieldPosition="0">
        <references count="3">
          <reference field="5" count="1" selected="0">
            <x v="5"/>
          </reference>
          <reference field="11" count="1" selected="0">
            <x v="4"/>
          </reference>
          <reference field="12" count="1">
            <x v="15"/>
          </reference>
        </references>
      </pivotArea>
    </format>
    <format dxfId="450">
      <pivotArea dataOnly="0" labelOnly="1" outline="0" fieldPosition="0">
        <references count="3">
          <reference field="5" count="1" selected="0">
            <x v="5"/>
          </reference>
          <reference field="11" count="1" selected="0">
            <x v="9"/>
          </reference>
          <reference field="12" count="1">
            <x v="14"/>
          </reference>
        </references>
      </pivotArea>
    </format>
    <format dxfId="449">
      <pivotArea dataOnly="0" labelOnly="1" outline="0" fieldPosition="0">
        <references count="3">
          <reference field="5" count="1" selected="0">
            <x v="5"/>
          </reference>
          <reference field="11" count="1" selected="0">
            <x v="44"/>
          </reference>
          <reference field="12" count="1">
            <x v="17"/>
          </reference>
        </references>
      </pivotArea>
    </format>
    <format dxfId="448">
      <pivotArea dataOnly="0" labelOnly="1" outline="0" fieldPosition="0">
        <references count="3">
          <reference field="5" count="1" selected="0">
            <x v="5"/>
          </reference>
          <reference field="11" count="1" selected="0">
            <x v="56"/>
          </reference>
          <reference field="12" count="1">
            <x v="16"/>
          </reference>
        </references>
      </pivotArea>
    </format>
    <format dxfId="447">
      <pivotArea dataOnly="0" labelOnly="1" outline="0" fieldPosition="0">
        <references count="3">
          <reference field="5" count="1" selected="0">
            <x v="5"/>
          </reference>
          <reference field="11" count="1" selected="0">
            <x v="87"/>
          </reference>
          <reference field="12" count="1">
            <x v="18"/>
          </reference>
        </references>
      </pivotArea>
    </format>
    <format dxfId="446">
      <pivotArea dataOnly="0" labelOnly="1" outline="0" fieldPosition="0">
        <references count="1">
          <reference field="4294967294" count="4">
            <x v="0"/>
            <x v="1"/>
            <x v="2"/>
            <x v="3"/>
          </reference>
        </references>
      </pivotArea>
    </format>
    <format dxfId="445">
      <pivotArea outline="0" collapsedLevelsAreSubtotals="1" fieldPosition="0">
        <references count="4">
          <reference field="4294967294" count="1" selected="0">
            <x v="3"/>
          </reference>
          <reference field="5" count="1" selected="0">
            <x v="9"/>
          </reference>
          <reference field="11" count="2" selected="0">
            <x v="35"/>
            <x v="91"/>
          </reference>
          <reference field="12" count="2" selected="0">
            <x v="12"/>
            <x v="13"/>
          </reference>
        </references>
      </pivotArea>
    </format>
    <format dxfId="444">
      <pivotArea outline="0" collapsedLevelsAreSubtotals="1" fieldPosition="0">
        <references count="2">
          <reference field="4294967294" count="1" selected="0">
            <x v="3"/>
          </reference>
          <reference field="5" count="1" selected="0" defaultSubtotal="1">
            <x v="9"/>
          </reference>
        </references>
      </pivotArea>
    </format>
    <format dxfId="44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2">
    <format dxfId="382">
      <pivotArea type="all" dataOnly="0" outline="0" fieldPosition="0"/>
    </format>
    <format dxfId="38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359">
      <pivotArea field="3" type="button" dataOnly="0" labelOnly="1" outline="0" axis="axisPage" fieldPosition="0"/>
    </format>
    <format dxfId="358">
      <pivotArea dataOnly="0" labelOnly="1" outline="0" fieldPosition="0">
        <references count="1">
          <reference field="3" count="0"/>
        </references>
      </pivotArea>
    </format>
    <format dxfId="357">
      <pivotArea dataOnly="0" labelOnly="1" outline="0" axis="axisValues" fieldPosition="0"/>
    </format>
    <format dxfId="356">
      <pivotArea grandRow="1" outline="0" collapsedLevelsAreSubtotals="1" fieldPosition="0"/>
    </format>
    <format dxfId="35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41:B53" firstHeaderRow="1" firstDataRow="1" firstDataCol="1" rowPageCount="1" colPageCount="1"/>
  <pivotFields count="25">
    <pivotField showAll="0" defaultSubtotal="0"/>
    <pivotField axis="axisRow" showAll="0" sortType="descending">
      <items count="14">
        <item x="3"/>
        <item x="2"/>
        <item x="1"/>
        <item x="11"/>
        <item x="5"/>
        <item x="12"/>
        <item x="9"/>
        <item x="0"/>
        <item x="6"/>
        <item x="4"/>
        <item x="10"/>
        <item h="1" x="8"/>
        <item h="1" x="7"/>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367">
      <pivotArea field="3" type="button" dataOnly="0" labelOnly="1" outline="0" axis="axisPage" fieldPosition="0"/>
    </format>
    <format dxfId="366">
      <pivotArea dataOnly="0" labelOnly="1" outline="0" fieldPosition="0">
        <references count="1">
          <reference field="3" count="0"/>
        </references>
      </pivotArea>
    </format>
    <format dxfId="365">
      <pivotArea field="1" type="button" dataOnly="0" labelOnly="1" outline="0" axis="axisRow" fieldPosition="0"/>
    </format>
    <format dxfId="364">
      <pivotArea dataOnly="0" labelOnly="1" outline="0" axis="axisValues" fieldPosition="0"/>
    </format>
    <format dxfId="363">
      <pivotArea collapsedLevelsAreSubtotals="1" fieldPosition="0">
        <references count="1">
          <reference field="1" count="0"/>
        </references>
      </pivotArea>
    </format>
    <format dxfId="362">
      <pivotArea dataOnly="0" labelOnly="1" fieldPosition="0">
        <references count="1">
          <reference field="1" count="0"/>
        </references>
      </pivotArea>
    </format>
    <format dxfId="361">
      <pivotArea grandRow="1" outline="0" collapsedLevelsAreSubtotals="1" fieldPosition="0"/>
    </format>
    <format dxfId="360">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1" firstHeaderRow="1" firstDataRow="1" firstDataCol="2" rowPageCount="2" colPageCount="1"/>
  <pivotFields count="36">
    <pivotField axis="axisPage" compact="0" outline="0" multipleItemSelectionAllowed="1"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
        <item x="0"/>
        <item x="2"/>
        <item x="4"/>
        <item x="3"/>
        <item x="5"/>
        <item x="6"/>
        <item x="7"/>
        <item x="8"/>
        <item x="9"/>
        <item x="1"/>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7">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0"/>
        <item x="71"/>
        <item x="42"/>
        <item x="6"/>
        <item x="102"/>
        <item x="24"/>
        <item x="43"/>
        <item x="83"/>
        <item x="44"/>
        <item x="18"/>
        <item x="75"/>
        <item x="90"/>
        <item x="7"/>
        <item x="25"/>
        <item x="53"/>
        <item x="8"/>
        <item x="103"/>
        <item x="45"/>
        <item x="54"/>
        <item x="100"/>
        <item x="9"/>
        <item x="34"/>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36"/>
        <item x="13"/>
        <item x="28"/>
        <item x="72"/>
        <item x="65"/>
        <item x="46"/>
        <item x="66"/>
        <item x="112"/>
        <item x="113"/>
        <item x="99"/>
        <item x="14"/>
        <item x="37"/>
        <item x="93"/>
        <item x="15"/>
        <item x="114"/>
        <item x="115"/>
        <item x="69"/>
        <item x="116"/>
        <item x="38"/>
        <item x="16"/>
        <item x="17"/>
        <item x="70"/>
        <item x="30"/>
        <item x="39"/>
        <item x="47"/>
        <item x="9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extLst>
        <ext xmlns:x14="http://schemas.microsoft.com/office/spreadsheetml/2009/9/main" uri="{2946ED86-A175-432a-8AC1-64E0C546D7DE}">
          <x14:pivotField fillDownLabels="1"/>
        </ext>
      </extLst>
    </pivotField>
  </pivotFields>
  <rowFields count="2">
    <field x="5"/>
    <field x="11"/>
  </rowFields>
  <rowItems count="117">
    <i>
      <x/>
      <x v="35"/>
    </i>
    <i r="1">
      <x v="44"/>
    </i>
    <i>
      <x v="1"/>
      <x v="1"/>
    </i>
    <i r="1">
      <x v="2"/>
    </i>
    <i r="1">
      <x v="5"/>
    </i>
    <i r="1">
      <x v="28"/>
    </i>
    <i r="1">
      <x v="34"/>
    </i>
    <i r="1">
      <x v="40"/>
    </i>
    <i r="1">
      <x v="48"/>
    </i>
    <i r="1">
      <x v="59"/>
    </i>
    <i r="1">
      <x v="86"/>
    </i>
    <i r="1">
      <x v="93"/>
    </i>
    <i r="1">
      <x v="113"/>
    </i>
    <i>
      <x v="2"/>
      <x v="6"/>
    </i>
    <i r="1">
      <x v="11"/>
    </i>
    <i r="1">
      <x v="16"/>
    </i>
    <i r="1">
      <x v="17"/>
    </i>
    <i r="1">
      <x v="27"/>
    </i>
    <i r="1">
      <x v="33"/>
    </i>
    <i r="1">
      <x v="37"/>
    </i>
    <i r="1">
      <x v="41"/>
    </i>
    <i r="1">
      <x v="43"/>
    </i>
    <i r="1">
      <x v="46"/>
    </i>
    <i r="1">
      <x v="52"/>
    </i>
    <i r="1">
      <x v="56"/>
    </i>
    <i r="1">
      <x v="61"/>
    </i>
    <i r="1">
      <x v="91"/>
    </i>
    <i r="1">
      <x v="96"/>
    </i>
    <i r="1">
      <x v="102"/>
    </i>
    <i r="1">
      <x v="109"/>
    </i>
    <i r="1">
      <x v="114"/>
    </i>
    <i r="1">
      <x v="115"/>
    </i>
    <i r="1">
      <x v="116"/>
    </i>
    <i>
      <x v="3"/>
      <x v="8"/>
    </i>
    <i r="1">
      <x v="57"/>
    </i>
    <i r="1">
      <x v="71"/>
    </i>
    <i r="1">
      <x v="77"/>
    </i>
    <i r="1">
      <x v="78"/>
    </i>
    <i r="1">
      <x v="83"/>
    </i>
    <i r="1">
      <x v="95"/>
    </i>
    <i r="1">
      <x v="97"/>
    </i>
    <i r="1">
      <x v="103"/>
    </i>
    <i>
      <x v="4"/>
      <x v="54"/>
    </i>
    <i r="1">
      <x v="70"/>
    </i>
    <i r="1">
      <x v="76"/>
    </i>
    <i r="1">
      <x v="107"/>
    </i>
    <i r="1">
      <x v="112"/>
    </i>
    <i>
      <x v="5"/>
      <x v="36"/>
    </i>
    <i r="1">
      <x v="94"/>
    </i>
    <i>
      <x v="6"/>
      <x v="4"/>
    </i>
    <i r="1">
      <x v="9"/>
    </i>
    <i r="1">
      <x v="45"/>
    </i>
    <i r="1">
      <x v="58"/>
    </i>
    <i r="1">
      <x v="89"/>
    </i>
    <i r="1">
      <x v="90"/>
    </i>
    <i>
      <x v="7"/>
      <x v="74"/>
    </i>
    <i r="1">
      <x v="75"/>
    </i>
    <i>
      <x v="8"/>
      <x/>
    </i>
    <i r="1">
      <x v="3"/>
    </i>
    <i r="1">
      <x v="20"/>
    </i>
    <i r="1">
      <x v="42"/>
    </i>
    <i r="1">
      <x v="60"/>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2"/>
    </i>
    <i r="1">
      <x v="63"/>
    </i>
    <i r="1">
      <x v="64"/>
    </i>
    <i r="1">
      <x v="65"/>
    </i>
    <i r="1">
      <x v="66"/>
    </i>
    <i r="1">
      <x v="67"/>
    </i>
    <i r="1">
      <x v="68"/>
    </i>
    <i r="1">
      <x v="69"/>
    </i>
    <i r="1">
      <x v="72"/>
    </i>
    <i r="1">
      <x v="73"/>
    </i>
    <i r="1">
      <x v="79"/>
    </i>
    <i r="1">
      <x v="80"/>
    </i>
    <i r="1">
      <x v="81"/>
    </i>
    <i r="1">
      <x v="82"/>
    </i>
    <i r="1">
      <x v="84"/>
    </i>
    <i r="1">
      <x v="85"/>
    </i>
    <i r="1">
      <x v="87"/>
    </i>
    <i r="1">
      <x v="88"/>
    </i>
    <i r="1">
      <x v="92"/>
    </i>
    <i r="1">
      <x v="98"/>
    </i>
    <i r="1">
      <x v="99"/>
    </i>
    <i r="1">
      <x v="100"/>
    </i>
    <i r="1">
      <x v="101"/>
    </i>
    <i r="1">
      <x v="104"/>
    </i>
    <i r="1">
      <x v="105"/>
    </i>
    <i r="1">
      <x v="106"/>
    </i>
    <i r="1">
      <x v="108"/>
    </i>
    <i r="1">
      <x v="110"/>
    </i>
    <i r="1">
      <x v="111"/>
    </i>
  </rowItems>
  <colItems count="1">
    <i/>
  </colItems>
  <pageFields count="2">
    <pageField fld="0" hier="-1"/>
    <pageField fld="35"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3"/>
        <item x="2"/>
        <item x="1"/>
        <item x="4"/>
        <item x="11"/>
        <item x="5"/>
        <item x="12"/>
        <item x="10"/>
        <item x="9"/>
        <item x="7"/>
        <item x="0"/>
        <item x="8"/>
        <item x="6"/>
        <item t="default"/>
      </items>
    </pivotField>
    <pivotField showAll="0" defaultSubtotal="0"/>
    <pivotField axis="axisPage" multipleItemSelectionAllowed="1" showAll="0">
      <items count="2">
        <item x="0"/>
        <item t="default"/>
      </items>
    </pivotField>
    <pivotField showAll="0" sortType="ascending">
      <items count="11">
        <item x="1"/>
        <item x="0"/>
        <item x="9"/>
        <item x="2"/>
        <item x="3"/>
        <item x="4"/>
        <item x="5"/>
        <item x="6"/>
        <item x="7"/>
        <item x="8"/>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 Permanent House Under Construction" fld="14" baseField="1" baseItem="1"/>
  </dataFields>
  <formats count="3">
    <format dxfId="346">
      <pivotArea field="4" type="button" dataOnly="0" labelOnly="1" outline="0"/>
    </format>
    <format dxfId="345">
      <pivotArea field="4" type="button" dataOnly="0" labelOnly="1" outline="0"/>
    </format>
    <format dxfId="34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1">
        <item x="1"/>
        <item x="0"/>
        <item x="9"/>
        <item x="2"/>
        <item x="3"/>
        <item x="4"/>
        <item x="5"/>
        <item x="6"/>
        <item x="7"/>
        <item x="8"/>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i>
    <i>
      <x v="2"/>
    </i>
    <i>
      <x v="8"/>
    </i>
    <i>
      <x v="5"/>
    </i>
    <i>
      <x v="4"/>
    </i>
    <i>
      <x v="1"/>
    </i>
    <i>
      <x v="3"/>
    </i>
    <i>
      <x v="6"/>
    </i>
    <i>
      <x v="9"/>
    </i>
    <i t="grand">
      <x/>
    </i>
  </rowItems>
  <colItems count="1">
    <i/>
  </colItems>
  <pageFields count="1">
    <pageField fld="3" hier="-1"/>
  </pageFields>
  <dataFields count="1">
    <dataField name="Sum of HH Covered" fld="18" baseField="0" baseItem="0"/>
  </dataFields>
  <formats count="4">
    <format dxfId="350">
      <pivotArea field="4" type="button" dataOnly="0" labelOnly="1" outline="0" axis="axisRow" fieldPosition="0"/>
    </format>
    <format dxfId="349">
      <pivotArea field="4" type="button" dataOnly="0" labelOnly="1" outline="0" axis="axisRow" fieldPosition="0"/>
    </format>
    <format dxfId="348">
      <pivotArea outline="0" collapsedLevelsAreSubtotals="1" fieldPosition="0"/>
    </format>
    <format dxfId="347">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3"/>
        <item x="2"/>
        <item x="1"/>
        <item x="4"/>
        <item x="11"/>
        <item x="5"/>
        <item x="12"/>
        <item x="10"/>
        <item x="9"/>
        <item x="7"/>
        <item x="0"/>
        <item x="8"/>
        <item x="6"/>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1">
        <item x="1"/>
        <item x="0"/>
        <item x="9"/>
        <item x="2"/>
        <item x="3"/>
        <item x="4"/>
        <item x="5"/>
        <item x="6"/>
        <item x="7"/>
        <item x="8"/>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354">
      <pivotArea field="4" type="button" dataOnly="0" labelOnly="1" outline="0" axis="axisPage" fieldPosition="1"/>
    </format>
    <format dxfId="353">
      <pivotArea field="4" type="button" dataOnly="0" labelOnly="1" outline="0" axis="axisPage" fieldPosition="1"/>
    </format>
    <format dxfId="352">
      <pivotArea outline="0" collapsedLevelsAreSubtotals="1" fieldPosition="0"/>
    </format>
    <format dxfId="351">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9">
  <location ref="A55:I60" firstHeaderRow="0" firstDataRow="1" firstDataCol="1" rowPageCount="1" colPageCount="1"/>
  <pivotFields count="33">
    <pivotField numFmtId="1" showAll="0" defaultSubtotal="0"/>
    <pivotField numFmtId="1" showAll="0" defaultSubtotal="0"/>
    <pivotField showAll="0"/>
    <pivotField axis="axisRow" showAll="0">
      <items count="18">
        <item sd="0" x="4"/>
        <item h="1" sd="0" x="13"/>
        <item h="1" sd="0" x="10"/>
        <item x="3"/>
        <item h="1" sd="0" x="12"/>
        <item h="1" x="5"/>
        <item h="1" x="9"/>
        <item h="1" x="14"/>
        <item h="1" x="11"/>
        <item h="1" x="7"/>
        <item x="1"/>
        <item h="1" x="6"/>
        <item x="8"/>
        <item h="1" m="1" x="16"/>
        <item h="1" m="1" x="15"/>
        <item h="1" x="0"/>
        <item h="1" x="2"/>
        <item t="default"/>
      </items>
    </pivotField>
    <pivotField showAll="0"/>
    <pivotField axis="axisPage" multipleItemSelectionAllowed="1" showAll="0">
      <items count="3">
        <item x="0"/>
        <item m="1"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dragToRow="0" dragToCol="0" dragToPage="0" showAll="0" defaultSubtotal="0"/>
  </pivotFields>
  <rowFields count="1">
    <field x="3"/>
  </rowFields>
  <rowItems count="5">
    <i>
      <x/>
    </i>
    <i>
      <x v="3"/>
    </i>
    <i>
      <x v="10"/>
    </i>
    <i>
      <x v="12"/>
    </i>
    <i t="grand">
      <x/>
    </i>
  </rowItems>
  <colFields count="1">
    <field x="-2"/>
  </colFields>
  <colItems count="8">
    <i>
      <x/>
    </i>
    <i i="1">
      <x v="1"/>
    </i>
    <i i="2">
      <x v="2"/>
    </i>
    <i i="3">
      <x v="3"/>
    </i>
    <i i="4">
      <x v="4"/>
    </i>
    <i i="5">
      <x v="5"/>
    </i>
    <i i="6">
      <x v="6"/>
    </i>
    <i i="7">
      <x v="7"/>
    </i>
  </colItems>
  <pageFields count="1">
    <pageField fld="5" hier="-1"/>
  </pageFields>
  <dataFields count="8">
    <dataField name=" Mosquito net " fld="22" baseField="0" baseItem="0"/>
    <dataField name="Tarpaulin " fld="23" baseField="0" baseItem="0"/>
    <dataField name="Blanket " fld="24" baseField="0" baseItem="0"/>
    <dataField name="Kitchen Set " fld="25" baseField="0" baseItem="0"/>
    <dataField name="Complementary Kit " fld="26" baseField="0" baseItem="0"/>
    <dataField name="Plastic Bucket " fld="27" baseField="0" baseItem="0"/>
    <dataField name=" Jerry Can" fld="28" baseField="3" baseItem="0"/>
    <dataField name="Plastic  Mat " fld="29" baseField="0" baseItem="0"/>
  </dataFields>
  <formats count="3">
    <format dxfId="242">
      <pivotArea outline="0" collapsedLevelsAreSubtotals="1" fieldPosition="0"/>
    </format>
    <format dxfId="241">
      <pivotArea type="all" dataOnly="0" outline="0" fieldPosition="0"/>
    </format>
    <format dxfId="240">
      <pivotArea type="all" dataOnly="0" outline="0" fieldPosition="0"/>
    </format>
  </formats>
  <chartFormats count="8">
    <chartFormat chart="8" format="24" series="1">
      <pivotArea type="data" outline="0" fieldPosition="0">
        <references count="1">
          <reference field="4294967294" count="1" selected="0">
            <x v="0"/>
          </reference>
        </references>
      </pivotArea>
    </chartFormat>
    <chartFormat chart="8" format="25" series="1">
      <pivotArea type="data" outline="0" fieldPosition="0">
        <references count="1">
          <reference field="4294967294" count="1" selected="0">
            <x v="1"/>
          </reference>
        </references>
      </pivotArea>
    </chartFormat>
    <chartFormat chart="8"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3"/>
          </reference>
        </references>
      </pivotArea>
    </chartFormat>
    <chartFormat chart="8" format="28" series="1">
      <pivotArea type="data" outline="0" fieldPosition="0">
        <references count="1">
          <reference field="4294967294" count="1" selected="0">
            <x v="4"/>
          </reference>
        </references>
      </pivotArea>
    </chartFormat>
    <chartFormat chart="8" format="29" series="1">
      <pivotArea type="data" outline="0" fieldPosition="0">
        <references count="1">
          <reference field="4294967294" count="1" selected="0">
            <x v="5"/>
          </reference>
        </references>
      </pivotArea>
    </chartFormat>
    <chartFormat chart="8" format="30" series="1">
      <pivotArea type="data" outline="0" fieldPosition="0">
        <references count="1">
          <reference field="4294967294" count="1" selected="0">
            <x v="7"/>
          </reference>
        </references>
      </pivotArea>
    </chartFormat>
    <chartFormat chart="8" format="32"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38:I49" firstHeaderRow="0" firstDataRow="1" firstDataCol="1" rowPageCount="1" colPageCount="1"/>
  <pivotFields count="33">
    <pivotField numFmtId="1" showAll="0" defaultSubtotal="0"/>
    <pivotField numFmtId="1" showAll="0" defaultSubtotal="0"/>
    <pivotField showAll="0"/>
    <pivotField showAll="0"/>
    <pivotField showAll="0"/>
    <pivotField axis="axisPage" multipleItemSelectionAllowed="1" showAll="0">
      <items count="3">
        <item x="0"/>
        <item m="1" x="1"/>
        <item t="default"/>
      </items>
    </pivotField>
    <pivotField axis="axisRow" showAll="0">
      <items count="12">
        <item x="8"/>
        <item x="3"/>
        <item x="2"/>
        <item x="4"/>
        <item x="5"/>
        <item x="1"/>
        <item x="9"/>
        <item x="6"/>
        <item x="0"/>
        <item x="7"/>
        <item m="1" x="10"/>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dragToRow="0" dragToCol="0" dragToPage="0" showAll="0" defaultSubtotal="0"/>
  </pivotFields>
  <rowFields count="1">
    <field x="6"/>
  </rowFields>
  <rowItems count="11">
    <i>
      <x/>
    </i>
    <i>
      <x v="1"/>
    </i>
    <i>
      <x v="2"/>
    </i>
    <i>
      <x v="3"/>
    </i>
    <i>
      <x v="4"/>
    </i>
    <i>
      <x v="5"/>
    </i>
    <i>
      <x v="6"/>
    </i>
    <i>
      <x v="7"/>
    </i>
    <i>
      <x v="8"/>
    </i>
    <i>
      <x v="9"/>
    </i>
    <i t="grand">
      <x/>
    </i>
  </rowItems>
  <colFields count="1">
    <field x="-2"/>
  </colFields>
  <colItems count="8">
    <i>
      <x/>
    </i>
    <i i="1">
      <x v="1"/>
    </i>
    <i i="2">
      <x v="2"/>
    </i>
    <i i="3">
      <x v="3"/>
    </i>
    <i i="4">
      <x v="4"/>
    </i>
    <i i="5">
      <x v="5"/>
    </i>
    <i i="6">
      <x v="6"/>
    </i>
    <i i="7">
      <x v="7"/>
    </i>
  </colItems>
  <pageFields count="1">
    <pageField fld="5" hier="-1"/>
  </pageFields>
  <dataFields count="8">
    <dataField name=" Mosquito net" fld="22" baseField="6" baseItem="3"/>
    <dataField name=" Tarpaulin" fld="23" baseField="6" baseItem="3"/>
    <dataField name=" Blanket" fld="24" baseField="6" baseItem="3"/>
    <dataField name=" Kitchen Set" fld="25" baseField="6" baseItem="3"/>
    <dataField name=" Complementary Kit" fld="26" baseField="6" baseItem="3"/>
    <dataField name=" Plastic Bucket" fld="27" baseField="6" baseItem="3"/>
    <dataField name=" Jerry Can" fld="28" baseField="6" baseItem="0"/>
    <dataField name=" Plastic  Mat" fld="29" baseField="6" baseItem="3"/>
  </dataFields>
  <formats count="3">
    <format dxfId="245">
      <pivotArea outline="0" collapsedLevelsAreSubtotals="1" fieldPosition="0"/>
    </format>
    <format dxfId="244">
      <pivotArea type="all" dataOnly="0" outline="0" fieldPosition="0"/>
    </format>
    <format dxfId="24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89:E252" firstHeaderRow="0" firstDataRow="1" firstDataCol="1"/>
  <pivotFields count="33">
    <pivotField axis="axisRow" numFmtId="1" showAll="0">
      <items count="667">
        <item m="1" x="645"/>
        <item m="1" x="328"/>
        <item m="1" x="526"/>
        <item m="1" x="663"/>
        <item m="1" x="644"/>
        <item m="1" x="313"/>
        <item m="1" x="395"/>
        <item m="1" x="377"/>
        <item m="1" x="239"/>
        <item m="1" x="392"/>
        <item m="1" x="563"/>
        <item m="1" x="549"/>
        <item m="1" x="451"/>
        <item m="1" x="231"/>
        <item m="1" x="639"/>
        <item m="1" x="238"/>
        <item m="1" x="194"/>
        <item m="1" x="387"/>
        <item m="1" x="546"/>
        <item m="1" x="480"/>
        <item m="1" x="651"/>
        <item m="1" x="206"/>
        <item x="25"/>
        <item x="28"/>
        <item m="1" x="482"/>
        <item m="1" x="528"/>
        <item m="1" x="501"/>
        <item m="1" x="170"/>
        <item m="1" x="273"/>
        <item m="1" x="191"/>
        <item m="1" x="573"/>
        <item m="1" x="371"/>
        <item m="1" x="596"/>
        <item m="1" x="184"/>
        <item m="1" x="308"/>
        <item m="1" x="435"/>
        <item m="1" x="274"/>
        <item x="37"/>
        <item x="38"/>
        <item m="1" x="403"/>
        <item m="1" x="442"/>
        <item m="1" x="217"/>
        <item m="1" x="612"/>
        <item m="1" x="449"/>
        <item x="45"/>
        <item m="1" x="437"/>
        <item m="1" x="279"/>
        <item m="1" x="476"/>
        <item m="1" x="282"/>
        <item m="1" x="525"/>
        <item m="1" x="609"/>
        <item m="1" x="417"/>
        <item m="1" x="481"/>
        <item m="1" x="218"/>
        <item m="1" x="611"/>
        <item m="1" x="432"/>
        <item m="1" x="335"/>
        <item m="1" x="568"/>
        <item m="1" x="169"/>
        <item x="48"/>
        <item m="1" x="469"/>
        <item m="1" x="519"/>
        <item m="1" x="351"/>
        <item x="50"/>
        <item m="1" x="589"/>
        <item m="1" x="227"/>
        <item m="1" x="210"/>
        <item m="1" x="356"/>
        <item m="1" x="633"/>
        <item m="1" x="495"/>
        <item m="1" x="299"/>
        <item m="1" x="163"/>
        <item m="1" x="477"/>
        <item m="1" x="649"/>
        <item m="1" x="345"/>
        <item m="1" x="637"/>
        <item m="1" x="540"/>
        <item m="1" x="288"/>
        <item m="1" x="580"/>
        <item x="58"/>
        <item x="59"/>
        <item x="60"/>
        <item m="1" x="168"/>
        <item m="1" x="219"/>
        <item m="1" x="556"/>
        <item m="1" x="652"/>
        <item m="1" x="447"/>
        <item m="1" x="433"/>
        <item m="1" x="487"/>
        <item m="1" x="409"/>
        <item m="1" x="641"/>
        <item m="1" x="450"/>
        <item m="1" x="189"/>
        <item m="1" x="551"/>
        <item m="1" x="553"/>
        <item m="1" x="595"/>
        <item m="1" x="179"/>
        <item m="1" x="625"/>
        <item m="1" x="164"/>
        <item m="1" x="638"/>
        <item m="1" x="289"/>
        <item m="1" x="533"/>
        <item m="1" x="270"/>
        <item m="1" x="515"/>
        <item m="1" x="320"/>
        <item m="1" x="557"/>
        <item m="1" x="361"/>
        <item m="1" x="599"/>
        <item m="1" x="408"/>
        <item m="1" x="188"/>
        <item m="1" x="502"/>
        <item m="1" x="241"/>
        <item m="1" x="544"/>
        <item m="1" x="584"/>
        <item m="1" x="627"/>
        <item m="1" x="536"/>
        <item x="77"/>
        <item x="78"/>
        <item x="79"/>
        <item m="1" x="655"/>
        <item m="1" x="297"/>
        <item m="1" x="228"/>
        <item m="1" x="410"/>
        <item m="1" x="201"/>
        <item m="1" x="604"/>
        <item m="1" x="300"/>
        <item m="1" x="283"/>
        <item m="1" x="478"/>
        <item m="1" x="354"/>
        <item m="1" x="607"/>
        <item m="1" x="162"/>
        <item m="1" x="618"/>
        <item m="1" x="266"/>
        <item m="1" x="240"/>
        <item m="1" x="664"/>
        <item m="1" x="248"/>
        <item m="1" x="508"/>
        <item x="97"/>
        <item m="1" x="197"/>
        <item x="96"/>
        <item m="1" x="359"/>
        <item m="1" x="608"/>
        <item m="1" x="316"/>
        <item m="1" x="177"/>
        <item m="1" x="560"/>
        <item m="1" x="441"/>
        <item m="1" x="524"/>
        <item m="1" x="342"/>
        <item m="1" x="213"/>
        <item m="1" x="594"/>
        <item m="1" x="475"/>
        <item m="1" x="301"/>
        <item m="1" x="665"/>
        <item m="1" x="577"/>
        <item m="1" x="454"/>
        <item m="1" x="605"/>
        <item x="85"/>
        <item x="84"/>
        <item m="1" x="425"/>
        <item m="1" x="338"/>
        <item m="1" x="296"/>
        <item m="1" x="292"/>
        <item m="1" x="431"/>
        <item m="1" x="182"/>
        <item m="1" x="391"/>
        <item m="1" x="215"/>
        <item m="1" x="401"/>
        <item m="1" x="304"/>
        <item m="1" x="456"/>
        <item x="70"/>
        <item m="1" x="606"/>
        <item m="1" x="367"/>
        <item m="1" x="559"/>
        <item m="1" x="330"/>
        <item m="1" x="523"/>
        <item m="1" x="280"/>
        <item m="1" x="385"/>
        <item m="1" x="576"/>
        <item m="1" x="399"/>
        <item m="1" x="262"/>
        <item m="1" x="209"/>
        <item m="1" x="414"/>
        <item x="67"/>
        <item x="66"/>
        <item m="1" x="381"/>
        <item m="1" x="587"/>
        <item m="1" x="465"/>
        <item m="1" x="336"/>
        <item x="65"/>
        <item m="1" x="393"/>
        <item m="1" x="583"/>
        <item m="1" x="256"/>
        <item x="61"/>
        <item m="1" x="418"/>
        <item m="1" x="610"/>
        <item m="1" x="318"/>
        <item x="56"/>
        <item x="55"/>
        <item m="1" x="315"/>
        <item m="1" x="455"/>
        <item m="1" x="261"/>
        <item m="1" x="208"/>
        <item m="1" x="516"/>
        <item m="1" x="290"/>
        <item m="1" x="185"/>
        <item m="1" x="181"/>
        <item m="1" x="358"/>
        <item m="1" x="601"/>
        <item m="1" x="416"/>
        <item m="1" x="662"/>
        <item m="1" x="468"/>
        <item m="1" x="659"/>
        <item m="1" x="569"/>
        <item m="1" x="436"/>
        <item m="1" x="585"/>
        <item m="1" x="321"/>
        <item m="1" x="564"/>
        <item m="1" x="271"/>
        <item x="43"/>
        <item m="1" x="511"/>
        <item m="1" x="166"/>
        <item x="41"/>
        <item m="1" x="247"/>
        <item m="1" x="646"/>
        <item m="1" x="471"/>
        <item m="1" x="204"/>
        <item m="1" x="264"/>
        <item m="1" x="221"/>
        <item m="1" x="375"/>
        <item m="1" x="542"/>
        <item m="1" x="225"/>
        <item m="1" x="500"/>
        <item x="22"/>
        <item m="1" x="643"/>
        <item m="1" x="212"/>
        <item m="1" x="396"/>
        <item m="1" x="590"/>
        <item m="1" x="368"/>
        <item x="18"/>
        <item m="1" x="635"/>
        <item m="1" x="603"/>
        <item m="1" x="236"/>
        <item m="1" x="656"/>
        <item m="1" x="531"/>
        <item m="1" x="621"/>
        <item m="1" x="233"/>
        <item m="1" x="588"/>
        <item m="1" x="348"/>
        <item m="1" x="175"/>
        <item m="1" x="373"/>
        <item m="1" x="535"/>
        <item m="1" x="575"/>
        <item m="1" x="565"/>
        <item m="1" x="249"/>
        <item m="1" x="198"/>
        <item m="1" x="374"/>
        <item m="1" x="254"/>
        <item m="1" x="566"/>
        <item m="1" x="445"/>
        <item m="1" x="287"/>
        <item m="1" x="484"/>
        <item m="1" x="235"/>
        <item x="110"/>
        <item x="109"/>
        <item m="1" x="319"/>
        <item m="1" x="389"/>
        <item m="1" x="269"/>
        <item m="1" x="581"/>
        <item x="108"/>
        <item x="107"/>
        <item m="1" x="216"/>
        <item m="1" x="541"/>
        <item m="1" x="443"/>
        <item m="1" x="332"/>
        <item m="1" x="483"/>
        <item x="98"/>
        <item m="1" x="251"/>
        <item x="95"/>
        <item m="1" x="232"/>
        <item m="1" x="494"/>
        <item m="1" x="493"/>
        <item m="1" x="366"/>
        <item m="1" x="226"/>
        <item m="1" x="174"/>
        <item m="1" x="382"/>
        <item m="1" x="518"/>
        <item x="80"/>
        <item m="1" x="488"/>
        <item m="1" x="640"/>
        <item m="1" x="613"/>
        <item m="1" x="376"/>
        <item x="73"/>
        <item m="1" x="444"/>
        <item m="1" x="200"/>
        <item m="1" x="268"/>
        <item m="1" x="527"/>
        <item m="1" x="331"/>
        <item m="1" x="634"/>
        <item m="1" x="196"/>
        <item m="1" x="622"/>
        <item m="1" x="492"/>
        <item m="1" x="440"/>
        <item m="1" x="352"/>
        <item m="1" x="365"/>
        <item m="1" x="600"/>
        <item m="1" x="311"/>
        <item m="1" x="207"/>
        <item m="1" x="422"/>
        <item m="1" x="543"/>
        <item m="1" x="390"/>
        <item m="1" x="554"/>
        <item m="1" x="253"/>
        <item m="1" x="509"/>
        <item x="53"/>
        <item m="1" x="522"/>
        <item m="1" x="428"/>
        <item m="1" x="489"/>
        <item m="1" x="586"/>
        <item m="1" x="272"/>
        <item m="1" x="346"/>
        <item m="1" x="202"/>
        <item m="1" x="407"/>
        <item m="1" x="199"/>
        <item m="1" x="457"/>
        <item m="1" x="370"/>
        <item m="1" x="229"/>
        <item m="1" x="386"/>
        <item m="1" x="314"/>
        <item m="1" x="558"/>
        <item m="1" x="246"/>
        <item m="1" x="362"/>
        <item x="44"/>
        <item m="1" x="547"/>
        <item m="1" x="464"/>
        <item m="1" x="220"/>
        <item m="1" x="597"/>
        <item m="1" x="298"/>
        <item m="1" x="257"/>
        <item m="1" x="405"/>
        <item x="35"/>
        <item m="1" x="259"/>
        <item m="1" x="430"/>
        <item m="1" x="343"/>
        <item x="30"/>
        <item m="1" x="650"/>
        <item x="14"/>
        <item m="1" x="642"/>
        <item m="1" x="562"/>
        <item m="1" x="327"/>
        <item m="1" x="364"/>
        <item x="159"/>
        <item m="1" x="413"/>
        <item m="1" x="187"/>
        <item m="1" x="369"/>
        <item m="1" x="661"/>
        <item m="1" x="591"/>
        <item m="1" x="498"/>
        <item m="1" x="193"/>
        <item m="1" x="324"/>
        <item m="1" x="252"/>
        <item x="160"/>
        <item m="1" x="250"/>
        <item m="1" x="203"/>
        <item x="2"/>
        <item m="1" x="503"/>
        <item m="1" x="602"/>
        <item m="1" x="491"/>
        <item m="1" x="363"/>
        <item m="1" x="244"/>
        <item m="1" x="520"/>
        <item m="1" x="277"/>
        <item m="1" x="472"/>
        <item m="1" x="349"/>
        <item m="1" x="224"/>
        <item m="1" x="550"/>
        <item m="1" x="172"/>
        <item m="1" x="504"/>
        <item m="1" x="380"/>
        <item m="1" x="260"/>
        <item m="1" x="571"/>
        <item m="1" x="452"/>
        <item m="1" x="337"/>
        <item m="1" x="242"/>
        <item m="1" x="617"/>
        <item m="1" x="276"/>
        <item m="1" x="293"/>
        <item m="1" x="545"/>
        <item x="130"/>
        <item m="1" x="534"/>
        <item m="1" x="223"/>
        <item m="1" x="222"/>
        <item m="1" x="598"/>
        <item m="1" x="333"/>
        <item x="112"/>
        <item m="1" x="530"/>
        <item m="1" x="406"/>
        <item x="106"/>
        <item x="104"/>
        <item m="1" x="286"/>
        <item m="1" x="317"/>
        <item m="1" x="561"/>
        <item m="1" x="388"/>
        <item m="1" x="267"/>
        <item x="101"/>
        <item x="100"/>
        <item m="1" x="344"/>
        <item m="1" x="214"/>
        <item m="1" x="372"/>
        <item m="1" x="552"/>
        <item m="1" x="623"/>
        <item m="1" x="284"/>
        <item x="91"/>
        <item x="87"/>
        <item m="1" x="593"/>
        <item m="1" x="353"/>
        <item m="1" x="647"/>
        <item x="83"/>
        <item m="1" x="473"/>
        <item m="1" x="398"/>
        <item m="1" x="171"/>
        <item m="1" x="434"/>
        <item m="1" x="394"/>
        <item m="1" x="448"/>
        <item x="76"/>
        <item m="1" x="485"/>
        <item m="1" x="421"/>
        <item m="1" x="579"/>
        <item m="1" x="285"/>
        <item m="1" x="539"/>
        <item m="1" x="341"/>
        <item m="1" x="453"/>
        <item m="1" x="517"/>
        <item m="1" x="615"/>
        <item m="1" x="307"/>
        <item m="1" x="237"/>
        <item x="57"/>
        <item m="1" x="400"/>
        <item m="1" x="263"/>
        <item m="1" x="630"/>
        <item m="1" x="340"/>
        <item m="1" x="190"/>
        <item m="1" x="278"/>
        <item m="1" x="486"/>
        <item m="1" x="555"/>
        <item m="1" x="255"/>
        <item m="1" x="626"/>
        <item m="1" x="176"/>
        <item m="1" x="629"/>
        <item m="1" x="460"/>
        <item m="1" x="322"/>
        <item m="1" x="497"/>
        <item m="1" x="402"/>
        <item m="1" x="404"/>
        <item m="1" x="624"/>
        <item m="1" x="427"/>
        <item m="1" x="360"/>
        <item m="1" x="379"/>
        <item m="1" x="423"/>
        <item m="1" x="173"/>
        <item m="1" x="470"/>
        <item m="1" x="258"/>
        <item m="1" x="648"/>
        <item m="1" x="614"/>
        <item m="1" x="412"/>
        <item x="29"/>
        <item m="1" x="302"/>
        <item m="1" x="514"/>
        <item m="1" x="281"/>
        <item m="1" x="291"/>
        <item m="1" x="245"/>
        <item m="1" x="499"/>
        <item m="1" x="339"/>
        <item m="1" x="186"/>
        <item m="1" x="512"/>
        <item m="1" x="532"/>
        <item m="1" x="205"/>
        <item m="1" x="570"/>
        <item m="1" x="411"/>
        <item m="1" x="424"/>
        <item x="5"/>
        <item m="1" x="632"/>
        <item m="1" x="323"/>
        <item m="1" x="243"/>
        <item m="1" x="419"/>
        <item m="1" x="183"/>
        <item m="1" x="310"/>
        <item x="8"/>
        <item m="1" x="479"/>
        <item x="9"/>
        <item m="1" x="378"/>
        <item m="1" x="466"/>
        <item x="16"/>
        <item m="1" x="326"/>
        <item m="1" x="467"/>
        <item m="1" x="355"/>
        <item m="1" x="636"/>
        <item m="1" x="567"/>
        <item m="1" x="303"/>
        <item x="26"/>
        <item m="1" x="462"/>
        <item m="1" x="657"/>
        <item m="1" x="397"/>
        <item m="1" x="438"/>
        <item m="1" x="572"/>
        <item m="1" x="420"/>
        <item m="1" x="459"/>
        <item m="1" x="510"/>
        <item m="1" x="582"/>
        <item m="1" x="628"/>
        <item m="1" x="357"/>
        <item m="1" x="167"/>
        <item m="1" x="309"/>
        <item m="1" x="548"/>
        <item m="1" x="537"/>
        <item m="1" x="619"/>
        <item m="1" x="660"/>
        <item m="1" x="384"/>
        <item m="1" x="329"/>
        <item m="1" x="178"/>
        <item m="1" x="578"/>
        <item x="54"/>
        <item m="1" x="458"/>
        <item x="64"/>
        <item m="1" x="295"/>
        <item x="68"/>
        <item m="1" x="506"/>
        <item m="1" x="507"/>
        <item x="71"/>
        <item m="1" x="496"/>
        <item m="1" x="334"/>
        <item m="1" x="654"/>
        <item m="1" x="463"/>
        <item m="1" x="616"/>
        <item m="1" x="658"/>
        <item m="1" x="439"/>
        <item m="1" x="490"/>
        <item m="1" x="631"/>
        <item x="90"/>
        <item x="92"/>
        <item m="1" x="195"/>
        <item m="1" x="429"/>
        <item m="1" x="305"/>
        <item x="102"/>
        <item m="1" x="234"/>
        <item m="1" x="529"/>
        <item m="1" x="165"/>
        <item m="1" x="306"/>
        <item m="1" x="513"/>
        <item m="1" x="180"/>
        <item m="1" x="653"/>
        <item m="1" x="461"/>
        <item x="124"/>
        <item m="1" x="275"/>
        <item m="1" x="446"/>
        <item x="125"/>
        <item m="1" x="347"/>
        <item x="132"/>
        <item m="1" x="325"/>
        <item m="1" x="294"/>
        <item m="1" x="538"/>
        <item m="1" x="574"/>
        <item m="1" x="192"/>
        <item m="1" x="383"/>
        <item m="1" x="505"/>
        <item m="1" x="620"/>
        <item m="1" x="312"/>
        <item m="1" x="426"/>
        <item m="1" x="350"/>
        <item m="1" x="474"/>
        <item m="1" x="592"/>
        <item m="1" x="211"/>
        <item m="1" x="521"/>
        <item m="1" x="265"/>
        <item x="140"/>
        <item x="141"/>
        <item m="1" x="230"/>
        <item m="1" x="415"/>
        <item x="0"/>
        <item x="1"/>
        <item x="3"/>
        <item x="4"/>
        <item x="6"/>
        <item x="7"/>
        <item x="10"/>
        <item x="11"/>
        <item x="12"/>
        <item x="13"/>
        <item x="15"/>
        <item x="17"/>
        <item x="19"/>
        <item x="20"/>
        <item x="21"/>
        <item x="23"/>
        <item x="24"/>
        <item x="27"/>
        <item x="31"/>
        <item x="32"/>
        <item x="33"/>
        <item x="34"/>
        <item x="36"/>
        <item x="39"/>
        <item x="40"/>
        <item x="42"/>
        <item x="46"/>
        <item x="47"/>
        <item x="49"/>
        <item x="51"/>
        <item x="52"/>
        <item x="62"/>
        <item x="63"/>
        <item x="69"/>
        <item x="72"/>
        <item x="74"/>
        <item x="75"/>
        <item x="81"/>
        <item x="82"/>
        <item x="86"/>
        <item x="88"/>
        <item x="89"/>
        <item x="93"/>
        <item x="94"/>
        <item x="99"/>
        <item x="103"/>
        <item x="105"/>
        <item x="111"/>
        <item x="113"/>
        <item x="114"/>
        <item x="115"/>
        <item x="116"/>
        <item x="117"/>
        <item x="118"/>
        <item x="119"/>
        <item x="120"/>
        <item x="121"/>
        <item x="122"/>
        <item x="123"/>
        <item x="126"/>
        <item x="127"/>
        <item x="128"/>
        <item x="129"/>
        <item x="131"/>
        <item x="133"/>
        <item x="134"/>
        <item x="135"/>
        <item x="136"/>
        <item x="137"/>
        <item x="138"/>
        <item x="139"/>
        <item x="142"/>
        <item x="143"/>
        <item x="144"/>
        <item x="145"/>
        <item x="146"/>
        <item x="147"/>
        <item x="148"/>
        <item x="149"/>
        <item x="150"/>
        <item x="151"/>
        <item x="152"/>
        <item x="153"/>
        <item x="154"/>
        <item x="155"/>
        <item x="156"/>
        <item x="157"/>
        <item x="158"/>
        <item x="161"/>
        <item t="default"/>
      </items>
    </pivotField>
    <pivotField numFmtI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ragToRow="0" dragToCol="0" dragToPage="0" showAll="0" defaultSubtotal="0"/>
  </pivotFields>
  <rowFields count="1">
    <field x="0"/>
  </rowFields>
  <rowItems count="163">
    <i>
      <x v="22"/>
    </i>
    <i>
      <x v="23"/>
    </i>
    <i>
      <x v="37"/>
    </i>
    <i>
      <x v="38"/>
    </i>
    <i>
      <x v="44"/>
    </i>
    <i>
      <x v="59"/>
    </i>
    <i>
      <x v="63"/>
    </i>
    <i>
      <x v="79"/>
    </i>
    <i>
      <x v="80"/>
    </i>
    <i>
      <x v="81"/>
    </i>
    <i>
      <x v="116"/>
    </i>
    <i>
      <x v="117"/>
    </i>
    <i>
      <x v="118"/>
    </i>
    <i>
      <x v="137"/>
    </i>
    <i>
      <x v="139"/>
    </i>
    <i>
      <x v="156"/>
    </i>
    <i>
      <x v="157"/>
    </i>
    <i>
      <x v="169"/>
    </i>
    <i>
      <x v="182"/>
    </i>
    <i>
      <x v="183"/>
    </i>
    <i>
      <x v="188"/>
    </i>
    <i>
      <x v="192"/>
    </i>
    <i>
      <x v="196"/>
    </i>
    <i>
      <x v="197"/>
    </i>
    <i>
      <x v="218"/>
    </i>
    <i>
      <x v="221"/>
    </i>
    <i>
      <x v="232"/>
    </i>
    <i>
      <x v="238"/>
    </i>
    <i>
      <x v="262"/>
    </i>
    <i>
      <x v="263"/>
    </i>
    <i>
      <x v="268"/>
    </i>
    <i>
      <x v="269"/>
    </i>
    <i>
      <x v="275"/>
    </i>
    <i>
      <x v="277"/>
    </i>
    <i>
      <x v="286"/>
    </i>
    <i>
      <x v="291"/>
    </i>
    <i>
      <x v="313"/>
    </i>
    <i>
      <x v="331"/>
    </i>
    <i>
      <x v="339"/>
    </i>
    <i>
      <x v="343"/>
    </i>
    <i>
      <x v="345"/>
    </i>
    <i>
      <x v="350"/>
    </i>
    <i>
      <x v="360"/>
    </i>
    <i>
      <x v="363"/>
    </i>
    <i>
      <x v="387"/>
    </i>
    <i>
      <x v="393"/>
    </i>
    <i>
      <x v="396"/>
    </i>
    <i>
      <x v="397"/>
    </i>
    <i>
      <x v="403"/>
    </i>
    <i>
      <x v="404"/>
    </i>
    <i>
      <x v="411"/>
    </i>
    <i>
      <x v="412"/>
    </i>
    <i>
      <x v="416"/>
    </i>
    <i>
      <x v="423"/>
    </i>
    <i>
      <x v="435"/>
    </i>
    <i>
      <x v="464"/>
    </i>
    <i>
      <x v="479"/>
    </i>
    <i>
      <x v="486"/>
    </i>
    <i>
      <x v="488"/>
    </i>
    <i>
      <x v="491"/>
    </i>
    <i>
      <x v="498"/>
    </i>
    <i>
      <x v="520"/>
    </i>
    <i>
      <x v="522"/>
    </i>
    <i>
      <x v="524"/>
    </i>
    <i>
      <x v="527"/>
    </i>
    <i>
      <x v="537"/>
    </i>
    <i>
      <x v="538"/>
    </i>
    <i>
      <x v="542"/>
    </i>
    <i>
      <x v="551"/>
    </i>
    <i>
      <x v="554"/>
    </i>
    <i>
      <x v="556"/>
    </i>
    <i>
      <x v="573"/>
    </i>
    <i>
      <x v="574"/>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t="grand">
      <x/>
    </i>
  </rowItems>
  <colFields count="1">
    <field x="-2"/>
  </colFields>
  <colItems count="4">
    <i>
      <x/>
    </i>
    <i i="1">
      <x v="1"/>
    </i>
    <i i="2">
      <x v="2"/>
    </i>
    <i i="3">
      <x v="3"/>
    </i>
  </colItems>
  <dataFields count="4">
    <dataField name="Sum of Mosquito net" fld="11" baseField="0" baseItem="0"/>
    <dataField name="Sum of Tarpaulin" fld="12" baseField="0" baseItem="0"/>
    <dataField name="Sum of Kitchen Set" fld="14" baseField="0" baseItem="0"/>
    <dataField name="Sum of Blanket"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4:AE33" firstHeaderRow="1" firstDataRow="3" firstDataCol="1"/>
  <pivotFields count="6">
    <pivotField axis="axisRow" showAll="0">
      <items count="4">
        <item x="0"/>
        <item x="1"/>
        <item x="2"/>
        <item t="default"/>
      </items>
    </pivotField>
    <pivotField axis="axisRow" showAll="0">
      <items count="32">
        <item m="1" x="29"/>
        <item m="1" x="30"/>
        <item m="1" x="28"/>
        <item x="8"/>
        <item m="1" x="26"/>
        <item x="12"/>
        <item x="13"/>
        <item m="1" x="23"/>
        <item x="16"/>
        <item m="1" x="24"/>
        <item m="1" x="27"/>
        <item x="19"/>
        <item m="1" x="25"/>
        <item x="2"/>
        <item x="5"/>
        <item x="7"/>
        <item x="9"/>
        <item x="11"/>
        <item x="14"/>
        <item x="15"/>
        <item x="22"/>
        <item x="0"/>
        <item x="17"/>
        <item x="18"/>
        <item x="21"/>
        <item x="1"/>
        <item x="10"/>
        <item x="6"/>
        <item x="20"/>
        <item x="3"/>
        <item x="4"/>
        <item t="default"/>
      </items>
    </pivotField>
    <pivotField showAll="0" defaultSubtotal="0"/>
    <pivotField axis="axisCol" multipleItemSelectionAllowed="1" showAll="0">
      <items count="13">
        <item x="0"/>
        <item x="2"/>
        <item m="1" x="8"/>
        <item m="1" x="10"/>
        <item m="1" x="6"/>
        <item m="1" x="7"/>
        <item m="1" x="11"/>
        <item m="1" x="9"/>
        <item x="1"/>
        <item x="3"/>
        <item x="4"/>
        <item x="5"/>
        <item t="default"/>
      </items>
    </pivotField>
    <pivotField axis="axisCol" showAll="0">
      <items count="4">
        <item x="1"/>
        <item x="0"/>
        <item m="1" x="2"/>
        <item t="default"/>
      </items>
    </pivotField>
    <pivotField dataField="1" numFmtId="165" showAll="0"/>
  </pivotFields>
  <rowFields count="2">
    <field x="0"/>
    <field x="1"/>
  </rowFields>
  <rowItems count="27">
    <i>
      <x/>
    </i>
    <i r="1">
      <x v="3"/>
    </i>
    <i r="1">
      <x v="11"/>
    </i>
    <i r="1">
      <x v="21"/>
    </i>
    <i r="1">
      <x v="25"/>
    </i>
    <i r="1">
      <x v="26"/>
    </i>
    <i>
      <x v="1"/>
    </i>
    <i r="1">
      <x v="5"/>
    </i>
    <i r="1">
      <x v="6"/>
    </i>
    <i r="1">
      <x v="8"/>
    </i>
    <i r="1">
      <x v="13"/>
    </i>
    <i r="1">
      <x v="14"/>
    </i>
    <i r="1">
      <x v="15"/>
    </i>
    <i r="1">
      <x v="16"/>
    </i>
    <i r="1">
      <x v="17"/>
    </i>
    <i r="1">
      <x v="18"/>
    </i>
    <i r="1">
      <x v="19"/>
    </i>
    <i r="1">
      <x v="20"/>
    </i>
    <i r="1">
      <x v="22"/>
    </i>
    <i r="1">
      <x v="23"/>
    </i>
    <i r="1">
      <x v="24"/>
    </i>
    <i r="1">
      <x v="29"/>
    </i>
    <i r="1">
      <x v="30"/>
    </i>
    <i>
      <x v="2"/>
    </i>
    <i r="1">
      <x v="27"/>
    </i>
    <i r="1">
      <x v="28"/>
    </i>
    <i t="grand">
      <x/>
    </i>
  </rowItems>
  <colFields count="2">
    <field x="3"/>
    <field x="4"/>
  </colFields>
  <colItems count="19">
    <i>
      <x/>
      <x/>
    </i>
    <i r="1">
      <x v="1"/>
    </i>
    <i t="default">
      <x/>
    </i>
    <i>
      <x v="1"/>
      <x/>
    </i>
    <i r="1">
      <x v="1"/>
    </i>
    <i t="default">
      <x v="1"/>
    </i>
    <i>
      <x v="8"/>
      <x/>
    </i>
    <i r="1">
      <x v="1"/>
    </i>
    <i t="default">
      <x v="8"/>
    </i>
    <i>
      <x v="9"/>
      <x/>
    </i>
    <i r="1">
      <x v="1"/>
    </i>
    <i t="default">
      <x v="9"/>
    </i>
    <i>
      <x v="10"/>
      <x/>
    </i>
    <i r="1">
      <x v="1"/>
    </i>
    <i t="default">
      <x v="10"/>
    </i>
    <i>
      <x v="11"/>
      <x/>
    </i>
    <i r="1">
      <x v="1"/>
    </i>
    <i t="default">
      <x v="11"/>
    </i>
    <i t="grand">
      <x/>
    </i>
  </colItems>
  <dataFields count="1">
    <dataField name="Sum of Total" fld="5" baseField="0" baseItem="0"/>
  </dataFields>
  <formats count="83">
    <format dxfId="808">
      <pivotArea outline="0" collapsedLevelsAreSubtotals="1" fieldPosition="0"/>
    </format>
    <format dxfId="807">
      <pivotArea dataOnly="0" labelOnly="1" fieldPosition="0">
        <references count="1">
          <reference field="3" count="1" defaultSubtotal="1">
            <x v="0"/>
          </reference>
        </references>
      </pivotArea>
    </format>
    <format dxfId="806">
      <pivotArea dataOnly="0" labelOnly="1" fieldPosition="0">
        <references count="1">
          <reference field="3" count="1" defaultSubtotal="1">
            <x v="1"/>
          </reference>
        </references>
      </pivotArea>
    </format>
    <format dxfId="805">
      <pivotArea dataOnly="0" labelOnly="1" fieldPosition="0">
        <references count="1">
          <reference field="3" count="1" defaultSubtotal="1">
            <x v="2"/>
          </reference>
        </references>
      </pivotArea>
    </format>
    <format dxfId="804">
      <pivotArea dataOnly="0" labelOnly="1" fieldPosition="0">
        <references count="1">
          <reference field="3" count="1" defaultSubtotal="1">
            <x v="3"/>
          </reference>
        </references>
      </pivotArea>
    </format>
    <format dxfId="803">
      <pivotArea dataOnly="0" labelOnly="1" fieldPosition="0">
        <references count="1">
          <reference field="3" count="1" defaultSubtotal="1">
            <x v="4"/>
          </reference>
        </references>
      </pivotArea>
    </format>
    <format dxfId="802">
      <pivotArea dataOnly="0" labelOnly="1" grandCol="1" outline="0" fieldPosition="0"/>
    </format>
    <format dxfId="801">
      <pivotArea dataOnly="0" labelOnly="1" fieldPosition="0">
        <references count="2">
          <reference field="3" count="1" selected="0">
            <x v="0"/>
          </reference>
          <reference field="4" count="0"/>
        </references>
      </pivotArea>
    </format>
    <format dxfId="800">
      <pivotArea dataOnly="0" labelOnly="1" fieldPosition="0">
        <references count="2">
          <reference field="3" count="1" selected="0">
            <x v="1"/>
          </reference>
          <reference field="4" count="0"/>
        </references>
      </pivotArea>
    </format>
    <format dxfId="799">
      <pivotArea dataOnly="0" labelOnly="1" fieldPosition="0">
        <references count="2">
          <reference field="3" count="1" selected="0">
            <x v="2"/>
          </reference>
          <reference field="4" count="0"/>
        </references>
      </pivotArea>
    </format>
    <format dxfId="798">
      <pivotArea dataOnly="0" labelOnly="1" fieldPosition="0">
        <references count="2">
          <reference field="3" count="1" selected="0">
            <x v="3"/>
          </reference>
          <reference field="4" count="0"/>
        </references>
      </pivotArea>
    </format>
    <format dxfId="797">
      <pivotArea dataOnly="0" labelOnly="1" fieldPosition="0">
        <references count="2">
          <reference field="3" count="1" selected="0">
            <x v="4"/>
          </reference>
          <reference field="4" count="0"/>
        </references>
      </pivotArea>
    </format>
    <format dxfId="796">
      <pivotArea type="origin" dataOnly="0" labelOnly="1" outline="0" offset="A1" fieldPosition="0"/>
    </format>
    <format dxfId="795">
      <pivotArea field="3" type="button" dataOnly="0" labelOnly="1" outline="0" axis="axisCol" fieldPosition="0"/>
    </format>
    <format dxfId="794">
      <pivotArea field="4" type="button" dataOnly="0" labelOnly="1" outline="0" axis="axisCol" fieldPosition="1"/>
    </format>
    <format dxfId="793">
      <pivotArea type="topRight" dataOnly="0" labelOnly="1" outline="0" fieldPosition="0"/>
    </format>
    <format dxfId="792">
      <pivotArea field="0" type="button" dataOnly="0" labelOnly="1" outline="0" axis="axisRow" fieldPosition="0"/>
    </format>
    <format dxfId="791">
      <pivotArea dataOnly="0" labelOnly="1" fieldPosition="0">
        <references count="1">
          <reference field="0" count="0"/>
        </references>
      </pivotArea>
    </format>
    <format dxfId="790">
      <pivotArea dataOnly="0" labelOnly="1" fieldPosition="0">
        <references count="2">
          <reference field="0" count="1" selected="0">
            <x v="0"/>
          </reference>
          <reference field="1" count="0"/>
        </references>
      </pivotArea>
    </format>
    <format dxfId="789">
      <pivotArea collapsedLevelsAreSubtotals="1" fieldPosition="0">
        <references count="1">
          <reference field="0" count="1">
            <x v="0"/>
          </reference>
        </references>
      </pivotArea>
    </format>
    <format dxfId="788">
      <pivotArea collapsedLevelsAreSubtotals="1" fieldPosition="0">
        <references count="2">
          <reference field="0" count="1" selected="0">
            <x v="0"/>
          </reference>
          <reference field="1" count="2">
            <x v="3"/>
            <x v="11"/>
          </reference>
        </references>
      </pivotArea>
    </format>
    <format dxfId="787">
      <pivotArea collapsedLevelsAreSubtotals="1" fieldPosition="0">
        <references count="1">
          <reference field="0" count="1">
            <x v="1"/>
          </reference>
        </references>
      </pivotArea>
    </format>
    <format dxfId="786">
      <pivotArea collapsedLevelsAreSubtotals="1" fieldPosition="0">
        <references count="2">
          <reference field="0" count="1" selected="0">
            <x v="1"/>
          </reference>
          <reference field="1" count="11">
            <x v="5"/>
            <x v="6"/>
            <x v="8"/>
            <x v="13"/>
            <x v="14"/>
            <x v="15"/>
            <x v="16"/>
            <x v="17"/>
            <x v="18"/>
            <x v="19"/>
            <x v="20"/>
          </reference>
        </references>
      </pivotArea>
    </format>
    <format dxfId="785">
      <pivotArea dataOnly="0" labelOnly="1" fieldPosition="0">
        <references count="1">
          <reference field="0" count="0"/>
        </references>
      </pivotArea>
    </format>
    <format dxfId="784">
      <pivotArea dataOnly="0" labelOnly="1" fieldPosition="0">
        <references count="2">
          <reference field="0" count="1" selected="0">
            <x v="0"/>
          </reference>
          <reference field="1" count="0"/>
        </references>
      </pivotArea>
    </format>
    <format dxfId="783">
      <pivotArea grandRow="1" outline="0" collapsedLevelsAreSubtotals="1" fieldPosition="0"/>
    </format>
    <format dxfId="782">
      <pivotArea dataOnly="0" labelOnly="1" grandRow="1" outline="0" fieldPosition="0"/>
    </format>
    <format dxfId="781">
      <pivotArea dataOnly="0" labelOnly="1" offset="A256" fieldPosition="0">
        <references count="1">
          <reference field="3" count="1">
            <x v="0"/>
          </reference>
        </references>
      </pivotArea>
    </format>
    <format dxfId="780">
      <pivotArea dataOnly="0" labelOnly="1" fieldPosition="0">
        <references count="2">
          <reference field="3" count="1" selected="0">
            <x v="0"/>
          </reference>
          <reference field="4" count="1">
            <x v="0"/>
          </reference>
        </references>
      </pivotArea>
    </format>
    <format dxfId="779">
      <pivotArea dataOnly="0" labelOnly="1" offset="IV256" fieldPosition="0">
        <references count="1">
          <reference field="3" count="1">
            <x v="0"/>
          </reference>
        </references>
      </pivotArea>
    </format>
    <format dxfId="778">
      <pivotArea dataOnly="0" labelOnly="1" fieldPosition="0">
        <references count="2">
          <reference field="3" count="1" selected="0">
            <x v="0"/>
          </reference>
          <reference field="4" count="1">
            <x v="1"/>
          </reference>
        </references>
      </pivotArea>
    </format>
    <format dxfId="777">
      <pivotArea dataOnly="0" labelOnly="1" fieldPosition="0">
        <references count="1">
          <reference field="3" count="1" defaultSubtotal="1">
            <x v="0"/>
          </reference>
        </references>
      </pivotArea>
    </format>
    <format dxfId="776">
      <pivotArea dataOnly="0" labelOnly="1" offset="A256" fieldPosition="0">
        <references count="1">
          <reference field="3" count="1">
            <x v="1"/>
          </reference>
        </references>
      </pivotArea>
    </format>
    <format dxfId="775">
      <pivotArea dataOnly="0" labelOnly="1" fieldPosition="0">
        <references count="2">
          <reference field="3" count="1" selected="0">
            <x v="1"/>
          </reference>
          <reference field="4" count="1">
            <x v="0"/>
          </reference>
        </references>
      </pivotArea>
    </format>
    <format dxfId="774">
      <pivotArea dataOnly="0" labelOnly="1" offset="IV256" fieldPosition="0">
        <references count="1">
          <reference field="3" count="1">
            <x v="1"/>
          </reference>
        </references>
      </pivotArea>
    </format>
    <format dxfId="773">
      <pivotArea dataOnly="0" labelOnly="1" fieldPosition="0">
        <references count="2">
          <reference field="3" count="1" selected="0">
            <x v="1"/>
          </reference>
          <reference field="4" count="1">
            <x v="1"/>
          </reference>
        </references>
      </pivotArea>
    </format>
    <format dxfId="772">
      <pivotArea dataOnly="0" labelOnly="1" fieldPosition="0">
        <references count="1">
          <reference field="3" count="1" defaultSubtotal="1">
            <x v="1"/>
          </reference>
        </references>
      </pivotArea>
    </format>
    <format dxfId="771">
      <pivotArea dataOnly="0" labelOnly="1" offset="A256" fieldPosition="0">
        <references count="1">
          <reference field="3" count="1">
            <x v="2"/>
          </reference>
        </references>
      </pivotArea>
    </format>
    <format dxfId="770">
      <pivotArea dataOnly="0" labelOnly="1" fieldPosition="0">
        <references count="2">
          <reference field="3" count="1" selected="0">
            <x v="2"/>
          </reference>
          <reference field="4" count="1">
            <x v="0"/>
          </reference>
        </references>
      </pivotArea>
    </format>
    <format dxfId="769">
      <pivotArea dataOnly="0" labelOnly="1" offset="IV256" fieldPosition="0">
        <references count="1">
          <reference field="3" count="1">
            <x v="2"/>
          </reference>
        </references>
      </pivotArea>
    </format>
    <format dxfId="768">
      <pivotArea dataOnly="0" labelOnly="1" fieldPosition="0">
        <references count="2">
          <reference field="3" count="1" selected="0">
            <x v="2"/>
          </reference>
          <reference field="4" count="1">
            <x v="1"/>
          </reference>
        </references>
      </pivotArea>
    </format>
    <format dxfId="767">
      <pivotArea dataOnly="0" labelOnly="1" fieldPosition="0">
        <references count="1">
          <reference field="3" count="1" defaultSubtotal="1">
            <x v="2"/>
          </reference>
        </references>
      </pivotArea>
    </format>
    <format dxfId="766">
      <pivotArea dataOnly="0" labelOnly="1" offset="A256" fieldPosition="0">
        <references count="1">
          <reference field="3" count="1">
            <x v="3"/>
          </reference>
        </references>
      </pivotArea>
    </format>
    <format dxfId="765">
      <pivotArea dataOnly="0" labelOnly="1" fieldPosition="0">
        <references count="2">
          <reference field="3" count="1" selected="0">
            <x v="3"/>
          </reference>
          <reference field="4" count="1">
            <x v="0"/>
          </reference>
        </references>
      </pivotArea>
    </format>
    <format dxfId="764">
      <pivotArea dataOnly="0" labelOnly="1" offset="IV256" fieldPosition="0">
        <references count="1">
          <reference field="3" count="1">
            <x v="3"/>
          </reference>
        </references>
      </pivotArea>
    </format>
    <format dxfId="763">
      <pivotArea dataOnly="0" labelOnly="1" fieldPosition="0">
        <references count="2">
          <reference field="3" count="1" selected="0">
            <x v="3"/>
          </reference>
          <reference field="4" count="1">
            <x v="1"/>
          </reference>
        </references>
      </pivotArea>
    </format>
    <format dxfId="762">
      <pivotArea dataOnly="0" labelOnly="1" fieldPosition="0">
        <references count="1">
          <reference field="3" count="1" defaultSubtotal="1">
            <x v="3"/>
          </reference>
        </references>
      </pivotArea>
    </format>
    <format dxfId="761">
      <pivotArea dataOnly="0" labelOnly="1" offset="A256" fieldPosition="0">
        <references count="1">
          <reference field="3" count="1">
            <x v="4"/>
          </reference>
        </references>
      </pivotArea>
    </format>
    <format dxfId="760">
      <pivotArea dataOnly="0" labelOnly="1" fieldPosition="0">
        <references count="2">
          <reference field="3" count="1" selected="0">
            <x v="4"/>
          </reference>
          <reference field="4" count="1">
            <x v="0"/>
          </reference>
        </references>
      </pivotArea>
    </format>
    <format dxfId="759">
      <pivotArea dataOnly="0" labelOnly="1" offset="IV256" fieldPosition="0">
        <references count="1">
          <reference field="3" count="1">
            <x v="4"/>
          </reference>
        </references>
      </pivotArea>
    </format>
    <format dxfId="758">
      <pivotArea dataOnly="0" labelOnly="1" fieldPosition="0">
        <references count="2">
          <reference field="3" count="1" selected="0">
            <x v="4"/>
          </reference>
          <reference field="4" count="1">
            <x v="1"/>
          </reference>
        </references>
      </pivotArea>
    </format>
    <format dxfId="757">
      <pivotArea dataOnly="0" labelOnly="1" fieldPosition="0">
        <references count="1">
          <reference field="3" count="1" defaultSubtotal="1">
            <x v="4"/>
          </reference>
        </references>
      </pivotArea>
    </format>
    <format dxfId="756">
      <pivotArea dataOnly="0" labelOnly="1" grandCol="1" outline="0" fieldPosition="0"/>
    </format>
    <format dxfId="755">
      <pivotArea dataOnly="0" labelOnly="1" fieldPosition="0">
        <references count="1">
          <reference field="0" count="1">
            <x v="2"/>
          </reference>
        </references>
      </pivotArea>
    </format>
    <format dxfId="754">
      <pivotArea dataOnly="0" labelOnly="1" fieldPosition="0">
        <references count="2">
          <reference field="0" count="1" selected="0">
            <x v="1"/>
          </reference>
          <reference field="1" count="12">
            <x v="6"/>
            <x v="8"/>
            <x v="13"/>
            <x v="15"/>
            <x v="16"/>
            <x v="17"/>
            <x v="18"/>
            <x v="19"/>
            <x v="20"/>
            <x v="22"/>
            <x v="23"/>
            <x v="24"/>
          </reference>
        </references>
      </pivotArea>
    </format>
    <format dxfId="753">
      <pivotArea collapsedLevelsAreSubtotals="1" fieldPosition="0">
        <references count="1">
          <reference field="0" count="1">
            <x v="0"/>
          </reference>
        </references>
      </pivotArea>
    </format>
    <format dxfId="752">
      <pivotArea collapsedLevelsAreSubtotals="1" fieldPosition="0">
        <references count="2">
          <reference field="0" count="1" selected="0">
            <x v="0"/>
          </reference>
          <reference field="1" count="5">
            <x v="3"/>
            <x v="11"/>
            <x v="21"/>
            <x v="25"/>
            <x v="26"/>
          </reference>
        </references>
      </pivotArea>
    </format>
    <format dxfId="751">
      <pivotArea collapsedLevelsAreSubtotals="1" fieldPosition="0">
        <references count="1">
          <reference field="0" count="1">
            <x v="1"/>
          </reference>
        </references>
      </pivotArea>
    </format>
    <format dxfId="750">
      <pivotArea collapsedLevelsAreSubtotals="1" fieldPosition="0">
        <references count="2">
          <reference field="0" count="1" selected="0">
            <x v="1"/>
          </reference>
          <reference field="1" count="12">
            <x v="6"/>
            <x v="8"/>
            <x v="13"/>
            <x v="15"/>
            <x v="16"/>
            <x v="17"/>
            <x v="18"/>
            <x v="19"/>
            <x v="20"/>
            <x v="22"/>
            <x v="23"/>
            <x v="24"/>
          </reference>
        </references>
      </pivotArea>
    </format>
    <format dxfId="749">
      <pivotArea collapsedLevelsAreSubtotals="1" fieldPosition="0">
        <references count="2">
          <reference field="0" count="1" selected="0">
            <x v="2"/>
          </reference>
          <reference field="1" count="2">
            <x v="27"/>
            <x v="28"/>
          </reference>
        </references>
      </pivotArea>
    </format>
    <format dxfId="748">
      <pivotArea collapsedLevelsAreSubtotals="1" fieldPosition="0">
        <references count="2">
          <reference field="0" count="1" selected="0">
            <x v="0"/>
          </reference>
          <reference field="1" count="1">
            <x v="21"/>
          </reference>
        </references>
      </pivotArea>
    </format>
    <format dxfId="747">
      <pivotArea collapsedLevelsAreSubtotals="1" fieldPosition="0">
        <references count="2">
          <reference field="0" count="1" selected="0">
            <x v="0"/>
          </reference>
          <reference field="1" count="1">
            <x v="25"/>
          </reference>
        </references>
      </pivotArea>
    </format>
    <format dxfId="746">
      <pivotArea collapsedLevelsAreSubtotals="1" fieldPosition="0">
        <references count="2">
          <reference field="0" count="1" selected="0">
            <x v="0"/>
          </reference>
          <reference field="1" count="3">
            <x v="21"/>
            <x v="25"/>
            <x v="26"/>
          </reference>
        </references>
      </pivotArea>
    </format>
    <format dxfId="745">
      <pivotArea dataOnly="0" labelOnly="1" fieldPosition="0">
        <references count="2">
          <reference field="0" count="1" selected="0">
            <x v="2"/>
          </reference>
          <reference field="1" count="2">
            <x v="27"/>
            <x v="28"/>
          </reference>
        </references>
      </pivotArea>
    </format>
    <format dxfId="744">
      <pivotArea collapsedLevelsAreSubtotals="1" fieldPosition="0">
        <references count="2">
          <reference field="0" count="1" selected="0">
            <x v="1"/>
          </reference>
          <reference field="1" count="3">
            <x v="22"/>
            <x v="23"/>
            <x v="24"/>
          </reference>
        </references>
      </pivotArea>
    </format>
    <format dxfId="743">
      <pivotArea collapsedLevelsAreSubtotals="1" fieldPosition="0">
        <references count="2">
          <reference field="0" count="1" selected="0">
            <x v="2"/>
          </reference>
          <reference field="1" count="2">
            <x v="27"/>
            <x v="28"/>
          </reference>
        </references>
      </pivotArea>
    </format>
    <format dxfId="742">
      <pivotArea collapsedLevelsAreSubtotals="1" fieldPosition="0">
        <references count="2">
          <reference field="0" count="1" selected="0">
            <x v="1"/>
          </reference>
          <reference field="1" count="1">
            <x v="22"/>
          </reference>
        </references>
      </pivotArea>
    </format>
    <format dxfId="741">
      <pivotArea collapsedLevelsAreSubtotals="1" fieldPosition="0">
        <references count="2">
          <reference field="0" count="1" selected="0">
            <x v="1"/>
          </reference>
          <reference field="1" count="1">
            <x v="23"/>
          </reference>
        </references>
      </pivotArea>
    </format>
    <format dxfId="740">
      <pivotArea collapsedLevelsAreSubtotals="1" fieldPosition="0">
        <references count="2">
          <reference field="0" count="1" selected="0">
            <x v="1"/>
          </reference>
          <reference field="1" count="1">
            <x v="24"/>
          </reference>
        </references>
      </pivotArea>
    </format>
    <format dxfId="739">
      <pivotArea collapsedLevelsAreSubtotals="1" fieldPosition="0">
        <references count="1">
          <reference field="0" count="1">
            <x v="2"/>
          </reference>
        </references>
      </pivotArea>
    </format>
    <format dxfId="738">
      <pivotArea collapsedLevelsAreSubtotals="1" fieldPosition="0">
        <references count="2">
          <reference field="0" count="1" selected="0">
            <x v="2"/>
          </reference>
          <reference field="1" count="1">
            <x v="27"/>
          </reference>
        </references>
      </pivotArea>
    </format>
    <format dxfId="737">
      <pivotArea type="all" dataOnly="0" outline="0" fieldPosition="0"/>
    </format>
    <format dxfId="736">
      <pivotArea dataOnly="0" labelOnly="1" fieldPosition="0">
        <references count="2">
          <reference field="0" count="1" selected="0">
            <x v="1"/>
          </reference>
          <reference field="1" count="7">
            <x v="19"/>
            <x v="20"/>
            <x v="22"/>
            <x v="23"/>
            <x v="24"/>
            <x v="29"/>
            <x v="30"/>
          </reference>
        </references>
      </pivotArea>
    </format>
    <format dxfId="735">
      <pivotArea collapsedLevelsAreSubtotals="1" fieldPosition="0">
        <references count="2">
          <reference field="0" count="1" selected="0">
            <x v="1"/>
          </reference>
          <reference field="1" count="2">
            <x v="29"/>
            <x v="30"/>
          </reference>
        </references>
      </pivotArea>
    </format>
    <format dxfId="734">
      <pivotArea collapsedLevelsAreSubtotals="1" fieldPosition="0">
        <references count="1">
          <reference field="0" count="1">
            <x v="2"/>
          </reference>
        </references>
      </pivotArea>
    </format>
    <format dxfId="733">
      <pivotArea collapsedLevelsAreSubtotals="1" fieldPosition="0">
        <references count="2">
          <reference field="0" count="1" selected="0">
            <x v="1"/>
          </reference>
          <reference field="1" count="1">
            <x v="29"/>
          </reference>
        </references>
      </pivotArea>
    </format>
    <format dxfId="732">
      <pivotArea collapsedLevelsAreSubtotals="1" fieldPosition="0">
        <references count="1">
          <reference field="0" count="1">
            <x v="2"/>
          </reference>
        </references>
      </pivotArea>
    </format>
    <format dxfId="731">
      <pivotArea dataOnly="0" labelOnly="1" fieldPosition="0">
        <references count="2">
          <reference field="0" count="1" selected="0">
            <x v="1"/>
          </reference>
          <reference field="1" count="1">
            <x v="13"/>
          </reference>
        </references>
      </pivotArea>
    </format>
    <format dxfId="730">
      <pivotArea dataOnly="0" labelOnly="1" fieldPosition="0">
        <references count="2">
          <reference field="0" count="1" selected="0">
            <x v="1"/>
          </reference>
          <reference field="1" count="1">
            <x v="14"/>
          </reference>
        </references>
      </pivotArea>
    </format>
    <format dxfId="729">
      <pivotArea dataOnly="0" labelOnly="1" fieldPosition="0">
        <references count="1">
          <reference field="0" count="0"/>
        </references>
      </pivotArea>
    </format>
    <format dxfId="728">
      <pivotArea dataOnly="0" labelOnly="1" fieldPosition="0">
        <references count="2">
          <reference field="0" count="1" selected="0">
            <x v="0"/>
          </reference>
          <reference field="1" count="0"/>
        </references>
      </pivotArea>
    </format>
    <format dxfId="727">
      <pivotArea grandRow="1" outline="0" collapsedLevelsAreSubtotals="1" fieldPosition="0"/>
    </format>
    <format dxfId="72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L38:O46"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4">
        <item x="8"/>
        <item x="12"/>
        <item x="13"/>
        <item x="16"/>
        <item x="19"/>
        <item x="2"/>
        <item x="5"/>
        <item x="7"/>
        <item x="9"/>
        <item x="11"/>
        <item x="14"/>
        <item x="15"/>
        <item x="22"/>
        <item x="0"/>
        <item x="17"/>
        <item x="18"/>
        <item x="21"/>
        <item x="1"/>
        <item x="10"/>
        <item x="6"/>
        <item x="20"/>
        <item x="3"/>
        <item x="4"/>
        <item t="default"/>
      </items>
    </pivotField>
    <pivotField showAll="0" defaultSubtotal="0"/>
    <pivotField axis="axisRow" showAll="0">
      <items count="13">
        <item x="0"/>
        <item m="1" x="9"/>
        <item x="2"/>
        <item m="1" x="10"/>
        <item m="1" x="7"/>
        <item m="1" x="8"/>
        <item m="1" x="11"/>
        <item m="1" x="6"/>
        <item x="1"/>
        <item x="3"/>
        <item x="4"/>
        <item x="5"/>
        <item t="default"/>
      </items>
    </pivotField>
    <pivotField axis="axisCol" showAll="0">
      <items count="4">
        <item x="1"/>
        <item x="0"/>
        <item m="1" x="2"/>
        <item t="default"/>
      </items>
    </pivotField>
    <pivotField numFmtId="165" showAll="0"/>
    <pivotField dataField="1" showAll="0" defaultSubtotal="0"/>
    <pivotField showAll="0" defaultSubtotal="0"/>
    <pivotField showAll="0" defaultSubtotal="0"/>
  </pivotFields>
  <rowFields count="1">
    <field x="4"/>
  </rowFields>
  <rowItems count="7">
    <i>
      <x/>
    </i>
    <i>
      <x v="2"/>
    </i>
    <i>
      <x v="8"/>
    </i>
    <i>
      <x v="9"/>
    </i>
    <i>
      <x v="10"/>
    </i>
    <i>
      <x v="11"/>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839">
      <pivotArea outline="0" collapsedLevelsAreSubtotals="1" fieldPosition="0"/>
    </format>
    <format dxfId="838">
      <pivotArea dataOnly="0" labelOnly="1" fieldPosition="0">
        <references count="1">
          <reference field="4" count="1" defaultSubtotal="1">
            <x v="0"/>
          </reference>
        </references>
      </pivotArea>
    </format>
    <format dxfId="837">
      <pivotArea dataOnly="0" labelOnly="1" fieldPosition="0">
        <references count="1">
          <reference field="4" count="1" defaultSubtotal="1">
            <x v="2"/>
          </reference>
        </references>
      </pivotArea>
    </format>
    <format dxfId="836">
      <pivotArea dataOnly="0" labelOnly="1" fieldPosition="0">
        <references count="1">
          <reference field="4" count="1" defaultSubtotal="1">
            <x v="3"/>
          </reference>
        </references>
      </pivotArea>
    </format>
    <format dxfId="835">
      <pivotArea dataOnly="0" labelOnly="1" fieldPosition="0">
        <references count="1">
          <reference field="4" count="1" defaultSubtotal="1">
            <x v="1"/>
          </reference>
        </references>
      </pivotArea>
    </format>
    <format dxfId="834">
      <pivotArea dataOnly="0" labelOnly="1" fieldPosition="0">
        <references count="1">
          <reference field="4" count="1" defaultSubtotal="1">
            <x v="4"/>
          </reference>
        </references>
      </pivotArea>
    </format>
    <format dxfId="833">
      <pivotArea dataOnly="0" labelOnly="1" grandCol="1" outline="0" fieldPosition="0"/>
    </format>
    <format dxfId="832">
      <pivotArea dataOnly="0" labelOnly="1" fieldPosition="0">
        <references count="2">
          <reference field="4" count="1" selected="0">
            <x v="0"/>
          </reference>
          <reference field="5" count="0"/>
        </references>
      </pivotArea>
    </format>
    <format dxfId="831">
      <pivotArea dataOnly="0" labelOnly="1" fieldPosition="0">
        <references count="2">
          <reference field="4" count="1" selected="0">
            <x v="2"/>
          </reference>
          <reference field="5" count="0"/>
        </references>
      </pivotArea>
    </format>
    <format dxfId="830">
      <pivotArea dataOnly="0" labelOnly="1" fieldPosition="0">
        <references count="2">
          <reference field="4" count="1" selected="0">
            <x v="3"/>
          </reference>
          <reference field="5" count="0"/>
        </references>
      </pivotArea>
    </format>
    <format dxfId="829">
      <pivotArea dataOnly="0" labelOnly="1" fieldPosition="0">
        <references count="2">
          <reference field="4" count="1" selected="0">
            <x v="1"/>
          </reference>
          <reference field="5" count="0"/>
        </references>
      </pivotArea>
    </format>
    <format dxfId="828">
      <pivotArea dataOnly="0" labelOnly="1" fieldPosition="0">
        <references count="2">
          <reference field="4" count="1" selected="0">
            <x v="4"/>
          </reference>
          <reference field="5" count="0"/>
        </references>
      </pivotArea>
    </format>
    <format dxfId="827">
      <pivotArea field="1" type="button" dataOnly="0" labelOnly="1" outline="0" axis="axisPage" fieldPosition="0"/>
    </format>
    <format dxfId="826">
      <pivotArea dataOnly="0" labelOnly="1" outline="0" fieldPosition="0">
        <references count="1">
          <reference field="1" count="0"/>
        </references>
      </pivotArea>
    </format>
    <format dxfId="825">
      <pivotArea field="2" type="button" dataOnly="0" labelOnly="1" outline="0" axis="axisPage" fieldPosition="1"/>
    </format>
    <format dxfId="824">
      <pivotArea dataOnly="0" labelOnly="1" outline="0" fieldPosition="0">
        <references count="1">
          <reference field="2" count="0"/>
        </references>
      </pivotArea>
    </format>
    <format dxfId="823">
      <pivotArea type="origin" dataOnly="0" labelOnly="1" outline="0" fieldPosition="0"/>
    </format>
    <format dxfId="822">
      <pivotArea field="4" type="button" dataOnly="0" labelOnly="1" outline="0" axis="axisRow" fieldPosition="0"/>
    </format>
    <format dxfId="821">
      <pivotArea field="5" type="button" dataOnly="0" labelOnly="1" outline="0" axis="axisCol" fieldPosition="0"/>
    </format>
    <format dxfId="820">
      <pivotArea dataOnly="0" labelOnly="1" fieldPosition="0">
        <references count="1">
          <reference field="5" count="1">
            <x v="0"/>
          </reference>
        </references>
      </pivotArea>
    </format>
    <format dxfId="819">
      <pivotArea type="topRight" dataOnly="0" labelOnly="1" outline="0" offset="A1" fieldPosition="0"/>
    </format>
    <format dxfId="818">
      <pivotArea dataOnly="0" labelOnly="1" fieldPosition="0">
        <references count="1">
          <reference field="5" count="1">
            <x v="1"/>
          </reference>
        </references>
      </pivotArea>
    </format>
    <format dxfId="817">
      <pivotArea type="topRight" dataOnly="0" labelOnly="1" outline="0" offset="B1" fieldPosition="0"/>
    </format>
    <format dxfId="816">
      <pivotArea dataOnly="0" labelOnly="1" grandCol="1" outline="0" fieldPosition="0"/>
    </format>
    <format dxfId="815">
      <pivotArea collapsedLevelsAreSubtotals="1" fieldPosition="0">
        <references count="1">
          <reference field="4" count="0"/>
        </references>
      </pivotArea>
    </format>
    <format dxfId="814">
      <pivotArea dataOnly="0" labelOnly="1" fieldPosition="0">
        <references count="1">
          <reference field="4" count="0"/>
        </references>
      </pivotArea>
    </format>
    <format dxfId="813">
      <pivotArea grandRow="1" outline="0" collapsedLevelsAreSubtotals="1" fieldPosition="0"/>
    </format>
    <format dxfId="812">
      <pivotArea dataOnly="0" labelOnly="1" grandRow="1" outline="0" fieldPosition="0"/>
    </format>
    <format dxfId="811">
      <pivotArea field="1" type="button" dataOnly="0" labelOnly="1" outline="0" axis="axisPage" fieldPosition="0"/>
    </format>
    <format dxfId="810">
      <pivotArea dataOnly="0" labelOnly="1" outline="0" fieldPosition="0">
        <references count="1">
          <reference field="1" count="0"/>
        </references>
      </pivotArea>
    </format>
    <format dxfId="809">
      <pivotArea dataOnly="0" labelOnly="1" fieldPosition="0">
        <references count="1">
          <reference field="5" count="1">
            <x v="2"/>
          </reference>
        </references>
      </pivotArea>
    </format>
  </formats>
  <chartFormats count="3">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J1:K10" firstHeaderRow="1" firstDataRow="1" firstDataCol="1"/>
  <pivotFields count="8">
    <pivotField showAll="0" defaultSubtotal="0"/>
    <pivotField showAll="0" defaultSubtotal="0"/>
    <pivotField showAll="0" defaultSubtotal="0"/>
    <pivotField showAll="0" defaultSubtotal="0"/>
    <pivotField axis="axisRow" showAll="0">
      <items count="16">
        <item m="1" x="8"/>
        <item m="1" x="13"/>
        <item x="2"/>
        <item x="1"/>
        <item m="1" x="9"/>
        <item m="1" x="10"/>
        <item m="1" x="12"/>
        <item m="1" x="11"/>
        <item m="1" x="14"/>
        <item x="0"/>
        <item x="3"/>
        <item x="4"/>
        <item x="5"/>
        <item x="6"/>
        <item x="7"/>
        <item t="default"/>
      </items>
    </pivotField>
    <pivotField dataField="1" showAll="0" defaultSubtotal="0"/>
    <pivotField showAll="0" defaultSubtotal="0"/>
    <pivotField showAll="0" defaultSubtotal="0"/>
  </pivotFields>
  <rowFields count="1">
    <field x="4"/>
  </rowFields>
  <rowItems count="9">
    <i>
      <x v="2"/>
    </i>
    <i>
      <x v="3"/>
    </i>
    <i>
      <x v="9"/>
    </i>
    <i>
      <x v="10"/>
    </i>
    <i>
      <x v="11"/>
    </i>
    <i>
      <x v="12"/>
    </i>
    <i>
      <x v="13"/>
    </i>
    <i>
      <x v="14"/>
    </i>
    <i t="grand">
      <x/>
    </i>
  </rowItems>
  <colItems count="1">
    <i/>
  </colItems>
  <dataFields count="1">
    <dataField name="Sum of Total" fld="5" baseField="0" baseItem="0" numFmtId="165"/>
  </dataFields>
  <formats count="7">
    <format dxfId="712">
      <pivotArea field="4" type="button" dataOnly="0" labelOnly="1" outline="0" axis="axisRow" fieldPosition="0"/>
    </format>
    <format dxfId="711">
      <pivotArea dataOnly="0" labelOnly="1" outline="0" axis="axisValues" fieldPosition="0"/>
    </format>
    <format dxfId="710">
      <pivotArea dataOnly="0" labelOnly="1" fieldPosition="0">
        <references count="1">
          <reference field="4" count="0"/>
        </references>
      </pivotArea>
    </format>
    <format dxfId="709">
      <pivotArea collapsedLevelsAreSubtotals="1" fieldPosition="0">
        <references count="1">
          <reference field="4" count="0"/>
        </references>
      </pivotArea>
    </format>
    <format dxfId="708">
      <pivotArea grandRow="1" outline="0" collapsedLevelsAreSubtotals="1" fieldPosition="0"/>
    </format>
    <format dxfId="707">
      <pivotArea dataOnly="0" labelOnly="1" grandRow="1" outline="0" fieldPosition="0"/>
    </format>
    <format dxfId="706">
      <pivotArea outline="0" collapsedLevelsAreSubtotals="1" fieldPosition="0"/>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38:K44" firstHeaderRow="1" firstDataRow="2" firstDataCol="1" rowPageCount="1" colPageCount="1"/>
  <pivotFields count="36">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showAll="0"/>
    <pivotField showAll="0"/>
    <pivotField showAll="0">
      <items count="118">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71"/>
        <item x="42"/>
        <item x="6"/>
        <item x="102"/>
        <item x="24"/>
        <item x="43"/>
        <item x="83"/>
        <item x="44"/>
        <item x="18"/>
        <item x="75"/>
        <item x="90"/>
        <item x="7"/>
        <item x="25"/>
        <item x="53"/>
        <item x="8"/>
        <item x="103"/>
        <item x="45"/>
        <item x="54"/>
        <item x="100"/>
        <item x="9"/>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13"/>
        <item x="28"/>
        <item x="72"/>
        <item x="65"/>
        <item x="46"/>
        <item x="66"/>
        <item x="112"/>
        <item x="113"/>
        <item x="99"/>
        <item x="14"/>
        <item x="37"/>
        <item x="93"/>
        <item x="15"/>
        <item x="114"/>
        <item x="115"/>
        <item x="69"/>
        <item x="116"/>
        <item x="16"/>
        <item x="17"/>
        <item x="70"/>
        <item x="30"/>
        <item x="39"/>
        <item x="47"/>
        <item x="91"/>
        <item x="0"/>
        <item x="34"/>
        <item x="36"/>
        <item x="38"/>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2"/>
        <item x="0"/>
        <item x="1"/>
      </items>
    </pivotField>
    <pivotField axis="axisRow" showAll="0" sortType="descending" defaultSubtotal="0">
      <items count="6">
        <item x="0"/>
        <item x="4"/>
        <item x="3"/>
        <item x="2"/>
        <item x="1"/>
        <item x="5"/>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1">
    <field x="28"/>
  </rowFields>
  <rowItems count="5">
    <i>
      <x/>
    </i>
    <i>
      <x v="1"/>
    </i>
    <i>
      <x v="2"/>
    </i>
    <i>
      <x v="3"/>
    </i>
    <i t="grand">
      <x/>
    </i>
  </rowItems>
  <colFields count="1">
    <field x="27"/>
  </colFields>
  <colItems count="3">
    <i>
      <x/>
    </i>
    <i>
      <x v="1"/>
    </i>
    <i t="grand">
      <x/>
    </i>
  </colItems>
  <pageFields count="1">
    <pageField fld="0" hier="-1"/>
  </pageFields>
  <dataFields count="1">
    <dataField name="Sum of Total" fld="17" baseField="23" baseItem="0"/>
  </dataFields>
  <formats count="1">
    <format dxfId="658">
      <pivotArea type="all" dataOnly="0" outline="0" fieldPosition="0"/>
    </format>
  </formats>
  <chartFormats count="4">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7" count="1" selected="0">
            <x v="0"/>
          </reference>
        </references>
      </pivotArea>
    </chartFormat>
    <chartFormat chart="5" format="5" series="1">
      <pivotArea type="data" outline="0" fieldPosition="0">
        <references count="2">
          <reference field="4294967294" count="1" selected="0">
            <x v="0"/>
          </reference>
          <reference field="27" count="1" selected="0">
            <x v="1"/>
          </reference>
        </references>
      </pivotArea>
    </chartFormat>
    <chartFormat chart="5"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M8:N19" firstHeaderRow="1" firstDataRow="1" firstDataCol="1" rowPageCount="1" colPageCount="1"/>
  <pivotFields count="36">
    <pivotField multipleItemSelectionAllowed="1" showAll="0"/>
    <pivotField axis="axisPage" subtotalTop="0" multipleItemSelectionAllowed="1" showAll="0">
      <items count="2">
        <item x="0"/>
        <item t="default"/>
      </items>
    </pivotField>
    <pivotField showAll="0" defaultSubtotal="0"/>
    <pivotField showAll="0" defaultSubtotal="0"/>
    <pivotField showAll="0" defaultSubtotal="0"/>
    <pivotField axis="axisRow" subtotalTop="0" showAll="0" sortType="descending">
      <items count="11">
        <item x="0"/>
        <item x="2"/>
        <item x="4"/>
        <item x="3"/>
        <item x="5"/>
        <item x="7"/>
        <item x="8"/>
        <item x="9"/>
        <item x="1"/>
        <item x="6"/>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8">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71"/>
        <item x="42"/>
        <item x="6"/>
        <item x="102"/>
        <item x="24"/>
        <item x="43"/>
        <item x="83"/>
        <item x="44"/>
        <item x="18"/>
        <item x="75"/>
        <item x="90"/>
        <item x="7"/>
        <item x="25"/>
        <item x="53"/>
        <item x="8"/>
        <item x="103"/>
        <item x="45"/>
        <item x="54"/>
        <item x="100"/>
        <item x="9"/>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13"/>
        <item x="28"/>
        <item x="72"/>
        <item x="65"/>
        <item x="46"/>
        <item x="66"/>
        <item x="112"/>
        <item x="113"/>
        <item x="99"/>
        <item x="14"/>
        <item x="37"/>
        <item x="93"/>
        <item x="15"/>
        <item x="114"/>
        <item x="115"/>
        <item x="69"/>
        <item x="116"/>
        <item x="16"/>
        <item x="17"/>
        <item x="70"/>
        <item x="30"/>
        <item x="39"/>
        <item x="47"/>
        <item x="91"/>
        <item x="0"/>
        <item x="34"/>
        <item x="36"/>
        <item x="38"/>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1">
    <field x="5"/>
  </rowFields>
  <rowItems count="11">
    <i>
      <x v="8"/>
    </i>
    <i>
      <x v="5"/>
    </i>
    <i>
      <x v="1"/>
    </i>
    <i>
      <x v="3"/>
    </i>
    <i>
      <x v="7"/>
    </i>
    <i>
      <x v="4"/>
    </i>
    <i>
      <x v="9"/>
    </i>
    <i>
      <x/>
    </i>
    <i>
      <x v="2"/>
    </i>
    <i>
      <x v="6"/>
    </i>
    <i t="grand">
      <x/>
    </i>
  </rowItems>
  <colItems count="1">
    <i/>
  </colItems>
  <pageFields count="1">
    <pageField fld="1" hier="-1"/>
  </pageFields>
  <dataFields count="1">
    <dataField name="Population" fld="17" baseField="5" baseItem="22"/>
  </dataFields>
  <formats count="7">
    <format dxfId="665">
      <pivotArea type="all" dataOnly="0" outline="0" fieldPosition="0"/>
    </format>
    <format dxfId="664">
      <pivotArea field="1" type="button" dataOnly="0" labelOnly="1" outline="0" axis="axisPage" fieldPosition="0"/>
    </format>
    <format dxfId="663">
      <pivotArea dataOnly="0" labelOnly="1" outline="0" fieldPosition="0">
        <references count="1">
          <reference field="1" count="1">
            <x v="0"/>
          </reference>
        </references>
      </pivotArea>
    </format>
    <format dxfId="662">
      <pivotArea field="5" type="button" dataOnly="0" labelOnly="1" outline="0" axis="axisRow" fieldPosition="0"/>
    </format>
    <format dxfId="661">
      <pivotArea dataOnly="0" labelOnly="1" outline="0" fieldPosition="0">
        <references count="1">
          <reference field="4294967294" count="1">
            <x v="0"/>
          </reference>
        </references>
      </pivotArea>
    </format>
    <format dxfId="660">
      <pivotArea grandRow="1" outline="0" collapsedLevelsAreSubtotals="1" fieldPosition="0"/>
    </format>
    <format dxfId="659">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A29:D31" firstHeaderRow="1" firstDataRow="2" firstDataCol="1" rowPageCount="1" colPageCount="1"/>
  <pivotFields count="36">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showAll="0"/>
    <pivotField showAll="0"/>
    <pivotField showAll="0">
      <items count="118">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71"/>
        <item x="42"/>
        <item x="6"/>
        <item x="102"/>
        <item x="24"/>
        <item x="43"/>
        <item x="83"/>
        <item x="44"/>
        <item x="18"/>
        <item x="75"/>
        <item x="90"/>
        <item x="7"/>
        <item x="25"/>
        <item x="53"/>
        <item x="8"/>
        <item x="103"/>
        <item x="45"/>
        <item x="54"/>
        <item x="100"/>
        <item x="9"/>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13"/>
        <item x="28"/>
        <item x="72"/>
        <item x="65"/>
        <item x="46"/>
        <item x="66"/>
        <item x="112"/>
        <item x="113"/>
        <item x="99"/>
        <item x="14"/>
        <item x="37"/>
        <item x="93"/>
        <item x="15"/>
        <item x="114"/>
        <item x="115"/>
        <item x="69"/>
        <item x="116"/>
        <item x="16"/>
        <item x="17"/>
        <item x="70"/>
        <item x="30"/>
        <item x="39"/>
        <item x="47"/>
        <item x="91"/>
        <item x="0"/>
        <item x="34"/>
        <item x="36"/>
        <item x="38"/>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2"/>
        <item x="0"/>
        <item x="1"/>
      </items>
    </pivotField>
    <pivotField showAll="0" defaultSubtotal="0"/>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Items count="1">
    <i/>
  </rowItems>
  <colFields count="1">
    <field x="27"/>
  </colFields>
  <colItems count="3">
    <i>
      <x/>
    </i>
    <i>
      <x v="1"/>
    </i>
    <i t="grand">
      <x/>
    </i>
  </colItems>
  <pageFields count="1">
    <pageField fld="0" hier="-1"/>
  </pageFields>
  <dataFields count="1">
    <dataField name="# Ind." fld="17" baseField="20" baseItem="4"/>
  </dataFields>
  <formats count="5">
    <format dxfId="670">
      <pivotArea field="0" type="button" dataOnly="0" labelOnly="1" outline="0" axis="axisPage" fieldPosition="0"/>
    </format>
    <format dxfId="669">
      <pivotArea dataOnly="0" labelOnly="1" outline="0" fieldPosition="0">
        <references count="1">
          <reference field="0" count="0"/>
        </references>
      </pivotArea>
    </format>
    <format dxfId="668">
      <pivotArea type="all" dataOnly="0" outline="0" fieldPosition="0"/>
    </format>
    <format dxfId="667">
      <pivotArea field="0" type="button" dataOnly="0" labelOnly="1" outline="0" axis="axisPage" fieldPosition="0"/>
    </format>
    <format dxfId="666">
      <pivotArea dataOnly="0" labelOnly="1" outline="0" fieldPosition="0">
        <references count="1">
          <reference field="0" count="0"/>
        </references>
      </pivotArea>
    </format>
  </formats>
  <chartFormats count="3">
    <chartFormat chart="2" format="24" series="1">
      <pivotArea type="data" outline="0" fieldPosition="0">
        <references count="2">
          <reference field="4294967294" count="1" selected="0">
            <x v="0"/>
          </reference>
          <reference field="27"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7"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28:K158" firstHeaderRow="1" firstDataRow="3" firstDataCol="2" rowPageCount="2" colPageCount="1"/>
  <pivotFields count="36">
    <pivotField axis="axisPage" compact="0" outline="0" multipleItemSelectionAllowed="1" showAll="0">
      <items count="3">
        <item h="1" x="1"/>
        <item x="0"/>
        <item t="default"/>
      </items>
    </pivotField>
    <pivotField compact="0" outline="0" showAll="0"/>
    <pivotField compact="0" outline="0" showAll="0"/>
    <pivotField compact="0" outline="0" showAll="0"/>
    <pivotField compact="0" outline="0" showAll="0"/>
    <pivotField axis="axisRow" compact="0" outline="0" multipleItemSelectionAllowed="1" showAll="0">
      <items count="11">
        <item x="0"/>
        <item x="2"/>
        <item x="4"/>
        <item x="3"/>
        <item x="5"/>
        <item x="7"/>
        <item x="8"/>
        <item x="9"/>
        <item x="1"/>
        <item x="6"/>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8">
        <item x="80"/>
        <item x="19"/>
        <item x="20"/>
        <item x="81"/>
        <item x="73"/>
        <item x="21"/>
        <item x="89"/>
        <item x="1"/>
        <item x="60"/>
        <item x="74"/>
        <item x="85"/>
        <item x="40"/>
        <item x="48"/>
        <item x="86"/>
        <item x="87"/>
        <item x="88"/>
        <item x="31"/>
        <item x="41"/>
        <item x="95"/>
        <item x="96"/>
        <item x="82"/>
        <item x="2"/>
        <item x="3"/>
        <item x="49"/>
        <item x="92"/>
        <item x="101"/>
        <item x="50"/>
        <item x="32"/>
        <item x="22"/>
        <item x="4"/>
        <item x="5"/>
        <item x="51"/>
        <item x="52"/>
        <item x="33"/>
        <item x="23"/>
        <item x="71"/>
        <item x="42"/>
        <item x="6"/>
        <item x="102"/>
        <item x="24"/>
        <item x="43"/>
        <item x="83"/>
        <item x="44"/>
        <item x="18"/>
        <item x="75"/>
        <item x="90"/>
        <item x="7"/>
        <item x="25"/>
        <item x="53"/>
        <item x="8"/>
        <item x="103"/>
        <item x="45"/>
        <item x="54"/>
        <item x="100"/>
        <item x="9"/>
        <item x="29"/>
        <item x="76"/>
        <item x="26"/>
        <item x="84"/>
        <item x="35"/>
        <item x="104"/>
        <item x="105"/>
        <item x="106"/>
        <item x="55"/>
        <item x="56"/>
        <item x="57"/>
        <item x="58"/>
        <item x="97"/>
        <item x="67"/>
        <item x="61"/>
        <item x="59"/>
        <item x="10"/>
        <item x="78"/>
        <item x="79"/>
        <item x="68"/>
        <item x="62"/>
        <item x="63"/>
        <item x="98"/>
        <item x="107"/>
        <item x="108"/>
        <item x="109"/>
        <item x="64"/>
        <item x="110"/>
        <item x="111"/>
        <item x="27"/>
        <item x="11"/>
        <item x="12"/>
        <item x="77"/>
        <item x="94"/>
        <item x="13"/>
        <item x="28"/>
        <item x="72"/>
        <item x="65"/>
        <item x="46"/>
        <item x="66"/>
        <item x="112"/>
        <item x="113"/>
        <item x="99"/>
        <item x="14"/>
        <item x="37"/>
        <item x="93"/>
        <item x="15"/>
        <item x="114"/>
        <item x="115"/>
        <item x="69"/>
        <item x="116"/>
        <item x="16"/>
        <item x="17"/>
        <item x="70"/>
        <item x="30"/>
        <item x="39"/>
        <item x="47"/>
        <item x="91"/>
        <item x="0"/>
        <item x="34"/>
        <item x="36"/>
        <item x="38"/>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4">
        <item x="0"/>
        <item x="3"/>
        <item x="2"/>
        <item x="1"/>
      </items>
    </pivotField>
    <pivotField compact="0" outline="0" showAll="0" defaultSubtotal="0"/>
    <pivotField compact="0" outline="0" showAll="0"/>
    <pivotField axis="axisCol" compact="0" outline="0" showAll="0">
      <items count="6">
        <item x="3"/>
        <item x="0"/>
        <item x="1"/>
        <item x="4"/>
        <item x="2"/>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4">
        <item n="Priority Camps" h="1" sd="0" x="68"/>
        <item n="Zone 1" h="1" sd="0" x="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28">
    <i>
      <x/>
      <x v="113"/>
    </i>
    <i r="1">
      <x v="43"/>
    </i>
    <i t="default">
      <x/>
    </i>
    <i>
      <x v="2"/>
      <x v="99"/>
    </i>
    <i r="1">
      <x v="59"/>
    </i>
    <i r="1">
      <x v="110"/>
    </i>
    <i r="1">
      <x v="115"/>
    </i>
    <i r="1">
      <x v="114"/>
    </i>
    <i r="1">
      <x v="16"/>
    </i>
    <i r="1">
      <x v="27"/>
    </i>
    <i r="1">
      <x v="33"/>
    </i>
    <i r="1">
      <x v="116"/>
    </i>
    <i t="default">
      <x v="2"/>
    </i>
    <i>
      <x v="6"/>
      <x v="72"/>
    </i>
    <i r="1">
      <x v="73"/>
    </i>
    <i t="default">
      <x v="6"/>
    </i>
    <i>
      <x v="7"/>
      <x v="3"/>
    </i>
    <i r="1">
      <x v="58"/>
    </i>
    <i r="1">
      <x v="41"/>
    </i>
    <i r="1">
      <x v="20"/>
    </i>
    <i r="1">
      <x/>
    </i>
    <i t="default">
      <x v="7"/>
    </i>
    <i>
      <x v="8"/>
      <x v="105"/>
    </i>
    <i r="1">
      <x v="13"/>
    </i>
    <i r="1">
      <x v="103"/>
    </i>
    <i r="1">
      <x v="25"/>
    </i>
    <i t="default">
      <x v="8"/>
    </i>
    <i t="grand">
      <x/>
    </i>
  </rowItems>
  <colFields count="2">
    <field x="24"/>
    <field x="21"/>
  </colFields>
  <colItems count="9">
    <i>
      <x v="1"/>
      <x/>
    </i>
    <i r="1">
      <x v="1"/>
    </i>
    <i r="1">
      <x v="2"/>
    </i>
    <i t="default">
      <x v="1"/>
    </i>
    <i>
      <x v="4"/>
      <x/>
    </i>
    <i r="1">
      <x v="1"/>
    </i>
    <i r="1">
      <x v="2"/>
    </i>
    <i t="default">
      <x v="4"/>
    </i>
    <i t="grand">
      <x/>
    </i>
  </colItems>
  <pageFields count="2">
    <pageField fld="0" hier="-1"/>
    <pageField fld="35" hier="-1"/>
  </pageFields>
  <dataFields count="1">
    <dataField name="Sum of Total" fld="17" baseField="11" baseItem="1" numFmtId="3"/>
  </dataFields>
  <formats count="5">
    <format dxfId="675">
      <pivotArea field="0" type="button" dataOnly="0" labelOnly="1" outline="0" axis="axisPage" fieldPosition="0"/>
    </format>
    <format dxfId="674">
      <pivotArea dataOnly="0" labelOnly="1" outline="0" fieldPosition="0">
        <references count="1">
          <reference field="0" count="0"/>
        </references>
      </pivotArea>
    </format>
    <format dxfId="673">
      <pivotArea field="35" type="button" dataOnly="0" labelOnly="1" outline="0" axis="axisPage" fieldPosition="1"/>
    </format>
    <format dxfId="672">
      <pivotArea dataOnly="0" labelOnly="1" outline="0" fieldPosition="0">
        <references count="1">
          <reference field="35" count="0"/>
        </references>
      </pivotArea>
    </format>
    <format dxfId="671">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0" series="1">
      <pivotArea type="data" outline="0" fieldPosition="0">
        <references count="3">
          <reference field="4294967294" count="1" selected="0">
            <x v="0"/>
          </reference>
          <reference field="21" count="1" selected="0">
            <x v="0"/>
          </reference>
          <reference field="24" count="1" selected="0">
            <x v="4"/>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3" series="1">
      <pivotArea type="data" outline="0" fieldPosition="0">
        <references count="3">
          <reference field="4294967294" count="1" selected="0">
            <x v="0"/>
          </reference>
          <reference field="21" count="1" selected="0">
            <x v="1"/>
          </reference>
          <reference field="24" count="1" selected="0">
            <x v="4"/>
          </reference>
        </references>
      </pivotArea>
    </chartFormat>
    <chartFormat chart="13" format="14" series="1">
      <pivotArea type="data" outline="0" fieldPosition="0">
        <references count="3">
          <reference field="4294967294" count="1" selected="0">
            <x v="0"/>
          </reference>
          <reference field="21" count="1" selected="0">
            <x v="2"/>
          </reference>
          <reference field="24" count="1" selected="0">
            <x v="4"/>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0">
        <i x="0" s="1"/>
        <i x="2" s="1"/>
        <i x="4" s="1"/>
        <i x="3" s="1"/>
        <i x="5" s="1"/>
        <i x="6" s="1"/>
        <i x="7" s="1"/>
        <i x="8" s="1"/>
        <i x="9"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startItem="2" rowHeight="241300"/>
</slicers>
</file>

<file path=xl/tables/table1.xml><?xml version="1.0" encoding="utf-8"?>
<table xmlns="http://schemas.openxmlformats.org/spreadsheetml/2006/main" id="3" name="Definition_State" displayName="Definition_State" ref="J1:J2" totalsRowShown="0" headerRowDxfId="896" dataDxfId="895">
  <autoFilter ref="J1:J2"/>
  <tableColumns count="1">
    <tableColumn id="1" name="State" dataDxfId="894"/>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880"/>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I121" tableType="xml" totalsRowShown="0" headerRowDxfId="878" dataDxfId="876" headerRowBorderDxfId="877" tableBorderDxfId="875" headerRowCellStyle="Normal_Sheet11">
  <autoFilter ref="A4:AI121">
    <filterColumn colId="0">
      <filters>
        <filter val="Open"/>
      </filters>
    </filterColumn>
  </autoFilter>
  <sortState ref="A5:AI121">
    <sortCondition ref="F4:F121"/>
  </sortState>
  <tableColumns count="35">
    <tableColumn id="24" uniqueName="Status" name="Status" dataDxfId="874">
      <xmlColumnPr mapId="8" xpath="/dataroot/Data_CCCM_t/Status" xmlDataType="string"/>
    </tableColumn>
    <tableColumn id="2" uniqueName="State" name="State" dataDxfId="873">
      <xmlColumnPr mapId="8" xpath="/dataroot/Data_CCCM_t/State" xmlDataType="string"/>
    </tableColumn>
    <tableColumn id="12" uniqueName="State_Pcode" name="State_Pcode" dataDxfId="872">
      <xmlColumnPr mapId="8" xpath="/dataroot/Data_CCCM_t/State_Pcode" xmlDataType="string"/>
    </tableColumn>
    <tableColumn id="23" uniqueName="District" name="District" dataDxfId="871">
      <xmlColumnPr mapId="8" xpath="/dataroot/Data_CCCM_t/District" xmlDataType="string"/>
    </tableColumn>
    <tableColumn id="19" uniqueName="District_Pcode" name="District_Pcode" dataDxfId="870">
      <xmlColumnPr mapId="8" xpath="/dataroot/Data_CCCM_t/District_Pcode" xmlDataType="string"/>
    </tableColumn>
    <tableColumn id="3" uniqueName="TOWNSHIP_NAME" name="TOWNSHIP_NAME" dataDxfId="869">
      <xmlColumnPr mapId="8" xpath="/dataroot/Data_CCCM_t/TOWNSHIP_NAME" xmlDataType="string"/>
    </tableColumn>
    <tableColumn id="13" uniqueName="Township_Pcode" name="Township_Pcode" dataDxfId="868">
      <xmlColumnPr mapId="8" xpath="/dataroot/Data_CCCM_t/Township_Pcode" xmlDataType="string"/>
    </tableColumn>
    <tableColumn id="14" uniqueName="VillageTracKTown_Name" name="VillageTracKTown_Name" dataDxfId="867">
      <xmlColumnPr mapId="8" xpath="/dataroot/Data_CCCM_t/VillageTracKTown_Name" xmlDataType="string"/>
    </tableColumn>
    <tableColumn id="15" uniqueName="VillageTrackTown_Pcode" name="VillageTrackTown_Pcode" dataDxfId="866">
      <xmlColumnPr mapId="8" xpath="/dataroot/Data_CCCM_t/VillageTrackTown_Pcode" xmlDataType="string"/>
    </tableColumn>
    <tableColumn id="16" uniqueName="VillageWard_Name" name="VillageWard_Name" dataDxfId="865">
      <xmlColumnPr mapId="8" xpath="/dataroot/Data_CCCM_t/VillageWard_Name" xmlDataType="string"/>
    </tableColumn>
    <tableColumn id="17" uniqueName="VillageWard_Pcode" name="VillageWard_Pcode" dataDxfId="864">
      <xmlColumnPr mapId="8" xpath="/dataroot/Data_CCCM_t/VillageWard_Pcode" xmlDataType="string"/>
    </tableColumn>
    <tableColumn id="4" uniqueName="Camp Name" name="Camp Name" dataDxfId="863">
      <xmlColumnPr mapId="8" xpath="/dataroot/Data_CCCM_t/Camp_x005f_x0020_Name" xmlDataType="string"/>
    </tableColumn>
    <tableColumn id="5" uniqueName="P_Code" name="P_Code" dataDxfId="862">
      <xmlColumnPr mapId="8" xpath="/dataroot/Data_CCCM_t/P_Code" xmlDataType="string"/>
    </tableColumn>
    <tableColumn id="6" uniqueName="Longitude" name="Longitude" dataDxfId="861">
      <xmlColumnPr mapId="8" xpath="/dataroot/Data_CCCM_t/Longitude" xmlDataType="double"/>
    </tableColumn>
    <tableColumn id="7" uniqueName="Latitude" name="Latitude" dataDxfId="860">
      <xmlColumnPr mapId="8" xpath="/dataroot/Data_CCCM_t/Latitude" xmlDataType="double"/>
    </tableColumn>
    <tableColumn id="1" uniqueName="Altitude" name="Altitude" dataDxfId="859">
      <xmlColumnPr mapId="8" xpath="/dataroot/Data_CCCM_t/Altitude" xmlDataType="string"/>
    </tableColumn>
    <tableColumn id="8" uniqueName="HH" name="HH" dataDxfId="858" dataCellStyle="Percent">
      <xmlColumnPr mapId="8" xpath="/dataroot/Data_CCCM_t/HH" xmlDataType="double"/>
    </tableColumn>
    <tableColumn id="9" uniqueName="Total" name="Total" dataDxfId="857" dataCellStyle="Percent">
      <xmlColumnPr mapId="8" xpath="/dataroot/Data_CCCM_t/Total" xmlDataType="double"/>
    </tableColumn>
    <tableColumn id="11" uniqueName="Avg" name="Avg" dataDxfId="856" dataCellStyle="Percent">
      <xmlColumnPr mapId="8" xpath="/dataroot/Data_CCCM_t/Avg" xmlDataType="double"/>
    </tableColumn>
    <tableColumn id="29" uniqueName="Accessibility" name="Accessibility" dataDxfId="855">
      <xmlColumnPr mapId="8" xpath="/dataroot/Data_CCCM_t/Accessibility" xmlDataType="string"/>
    </tableColumn>
    <tableColumn id="33" uniqueName="Affected population" name="Affected population" dataDxfId="854">
      <xmlColumnPr mapId="8" xpath="/dataroot/Data_CCCM_t/Affected_x005f_x0020_population" xmlDataType="string"/>
    </tableColumn>
    <tableColumn id="26" uniqueName="Type of Accomodation" name="Type of Accomodation" dataDxfId="853">
      <xmlColumnPr mapId="8" xpath="/dataroot/Data_CCCM_t/Type_x005f_x0020_of_x005f_x0020_Accomodation" xmlDataType="string"/>
    </tableColumn>
    <tableColumn id="37" uniqueName="Isolated Location" name="Isolated Location" dataDxfId="852">
      <xmlColumnPr mapId="8" xpath="/dataroot/Data_CCCM_t/Isolated_x005f_x0020_Location" xmlDataType="string"/>
    </tableColumn>
    <tableColumn id="30" uniqueName="Opening Date" name="Opening Date" dataDxfId="851">
      <xmlColumnPr mapId="8" xpath="/dataroot/Data_CCCM_t/Opening_x005f_x0020_Date" xmlDataType="string"/>
    </tableColumn>
    <tableColumn id="34" uniqueName="Ethnicity" name="Ethnicity" dataDxfId="850">
      <xmlColumnPr mapId="8" xpath="/dataroot/Data_CCCM_t/Ethnicity" xmlDataType="string"/>
    </tableColumn>
    <tableColumn id="35" uniqueName="Religion" name="Religion" dataDxfId="849">
      <xmlColumnPr mapId="8" xpath="/dataroot/Data_CCCM_t/Religion" xmlDataType="string"/>
    </tableColumn>
    <tableColumn id="36" uniqueName="Type of Population" name="Type of Population" dataDxfId="848">
      <calculatedColumnFormula>CONCATENATE(Camp_List[[#This Row],[Ethnicity]],"-",Camp_List[[#This Row],[Religion]])</calculatedColumnFormula>
      <xmlColumnPr mapId="8" xpath="/dataroot/Data_CCCM_t/Type_x005f_x0020_of_x005f_x0020_Population" xmlDataType="string"/>
    </tableColumn>
    <tableColumn id="32" uniqueName="CM/FP" name="CM/FP" dataDxfId="847">
      <xmlColumnPr mapId="8" xpath="/dataroot/Data_CCCM_t/CM_x005f_x002F_FP" xmlDataType="string"/>
    </tableColumn>
    <tableColumn id="22" uniqueName="Responsible Agency" name="Responsible Agency" dataDxfId="846">
      <xmlColumnPr mapId="8" xpath="/dataroot/Data_CCCM_t/Responsible_x005f_x0020_Agency" xmlDataType="string"/>
    </tableColumn>
    <tableColumn id="18" uniqueName="Source" name="Source" dataDxfId="845">
      <xmlColumnPr mapId="8" xpath="/dataroot/Data_CCCM_t/Source" xmlDataType="string"/>
    </tableColumn>
    <tableColumn id="20" uniqueName="Method" name="Method" dataDxfId="844">
      <xmlColumnPr mapId="8" xpath="/dataroot/Data_CCCM_t/Method" xmlDataType="string"/>
    </tableColumn>
    <tableColumn id="31" uniqueName="Update Date" name="Update Date" dataDxfId="843">
      <xmlColumnPr mapId="8" xpath="/dataroot/Data_CCCM_t/Update_x005f_x0020_Date" xmlDataType="dateTime"/>
    </tableColumn>
    <tableColumn id="25" uniqueName="Comment" name="Comment" dataDxfId="842">
      <xmlColumnPr mapId="8" xpath="/dataroot/Data_CCCM_t/Comment" xmlDataType="string"/>
    </tableColumn>
    <tableColumn id="10" uniqueName="Contact" name="Contact" dataDxfId="841">
      <calculatedColumnFormula>IFERROR(VLOOKUP(Camp_List[[#This Row],[Responsible Agency]],Organization_t[],3,0),"")</calculatedColumnFormula>
      <xmlColumnPr mapId="8" xpath="/dataroot/Data_CCCM_t/Contact" xmlDataType="double"/>
    </tableColumn>
    <tableColumn id="21" uniqueName="shelter_coverage" name="shelter_coverage" dataDxfId="840"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11" name="Data_Demography_t" displayName="Data_Demography_t" ref="A1:J277" tableType="xml" totalsRowShown="0" headerRowDxfId="725" dataDxfId="724" tableBorderDxfId="723">
  <autoFilter ref="A1:J277"/>
  <sortState ref="A2:J275">
    <sortCondition ref="C1:C275"/>
  </sortState>
  <tableColumns count="10">
    <tableColumn id="1" uniqueName="State" name="State" dataDxfId="722">
      <xmlColumnPr mapId="2" xpath="/dataroot/Data_Demography_t/State" xmlDataType="string"/>
    </tableColumn>
    <tableColumn id="2" uniqueName="Township" name="Township" dataDxfId="721">
      <xmlColumnPr mapId="2" xpath="/dataroot/Data_Demography_t/Township" xmlDataType="string"/>
    </tableColumn>
    <tableColumn id="3" uniqueName="Camp" name="Camp" dataDxfId="720">
      <xmlColumnPr mapId="2" xpath="/dataroot/Data_Demography_t/Camp" xmlDataType="string"/>
    </tableColumn>
    <tableColumn id="9" uniqueName="Pcode" name="Pcode" dataDxfId="719">
      <calculatedColumnFormula>IFERROR(OFFSET(Camp_List[P_Code],MATCH(Data_Demography_t[[#This Row],[Camp]],Camp_List[Camp Name],0)-1,0,1,1),"")</calculatedColumnFormula>
      <xmlColumnPr mapId="2" xpath="/dataroot/Data_Demography_t/Pcode" xmlDataType="string"/>
    </tableColumn>
    <tableColumn id="4" uniqueName="Age_Cat" name="Age_Cat" dataDxfId="718">
      <xmlColumnPr mapId="2" xpath="/dataroot/Data_Demography_t/Age_Cat" xmlDataType="string"/>
    </tableColumn>
    <tableColumn id="6" uniqueName="Sex" name="Sex" dataDxfId="717">
      <xmlColumnPr mapId="2" xpath="/dataroot/Data_Demography_t/Sex" xmlDataType="string"/>
    </tableColumn>
    <tableColumn id="5" uniqueName="Total" name="Total" dataDxfId="716" dataCellStyle="Comma">
      <xmlColumnPr mapId="2" xpath="/dataroot/Data_Demography_t/Total" xmlDataType="double"/>
    </tableColumn>
    <tableColumn id="7" uniqueName="Total2" name="Total2" dataDxfId="715">
      <calculatedColumnFormula>IF(F2="M",-G2,G2)</calculatedColumnFormula>
      <xmlColumnPr mapId="2" xpath="/dataroot/Data_Demography_t/Total2" xmlDataType="double"/>
    </tableColumn>
    <tableColumn id="8" uniqueName="Source" name="Source" dataDxfId="714">
      <xmlColumnPr mapId="2" xpath="/dataroot/Data_Demography_t/Source" xmlDataType="string"/>
    </tableColumn>
    <tableColumn id="10" uniqueName="Updated Date" name="Updated Date" dataDxfId="713">
      <xmlColumnPr mapId="2" xpath="/dataroot/Data_Demography_t/Updated_x005f_x0020_Date" xmlDataType="dateTime"/>
    </tableColumn>
  </tableColumns>
  <tableStyleInfo name="TableStyleMedium2" showFirstColumn="0" showLastColumn="0" showRowStripes="1" showColumnStripes="0"/>
</table>
</file>

<file path=xl/tables/table14.xml><?xml version="1.0" encoding="utf-8"?>
<table xmlns="http://schemas.openxmlformats.org/spreadsheetml/2006/main" id="13" name="Data_Vulnerability_t" displayName="Data_Vulnerability_t" ref="A1:H185" tableType="xml" totalsRowShown="0" headerRowDxfId="705" dataDxfId="704" tableBorderDxfId="703">
  <autoFilter ref="A1:H185"/>
  <sortState ref="A2:H183">
    <sortCondition descending="1" ref="C1:C183"/>
  </sortState>
  <tableColumns count="8">
    <tableColumn id="1" uniqueName="State" name="State" dataDxfId="702">
      <xmlColumnPr mapId="6" xpath="/dataroot/Data_Vulnerability_t/State" xmlDataType="string"/>
    </tableColumn>
    <tableColumn id="2" uniqueName="Township" name="Township" dataDxfId="701">
      <xmlColumnPr mapId="6" xpath="/dataroot/Data_Vulnerability_t/Township" xmlDataType="string"/>
    </tableColumn>
    <tableColumn id="3" uniqueName="Camp Name" name="Camp Name" dataDxfId="700">
      <xmlColumnPr mapId="6" xpath="/dataroot/Data_Vulnerability_t/Camp_x005f_x0020_Name" xmlDataType="string"/>
    </tableColumn>
    <tableColumn id="7" uniqueName="Pcode" name="Pcode" dataDxfId="699">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698">
      <xmlColumnPr mapId="6" xpath="/dataroot/Data_Vulnerability_t/Vulnerability" xmlDataType="string"/>
    </tableColumn>
    <tableColumn id="5" uniqueName="Total" name="Total" dataDxfId="697">
      <xmlColumnPr mapId="6" xpath="/dataroot/Data_Vulnerability_t/Total" xmlDataType="double"/>
    </tableColumn>
    <tableColumn id="6" uniqueName="Source" name="Source" dataDxfId="696">
      <xmlColumnPr mapId="6" xpath="/dataroot/Data_Vulnerability_t/Source" xmlDataType="string"/>
    </tableColumn>
    <tableColumn id="8" uniqueName="Updated date" name="Updated date" dataDxfId="695">
      <xmlColumnPr mapId="6" xpath="/dataroot/Data_Vulnerability_t/Updated_x005f_x0020_date" xmlDataType="dateTime"/>
    </tableColumn>
  </tableColumns>
  <tableStyleInfo name="TableStyleMedium2" showFirstColumn="0" showLastColumn="0" showRowStripes="1" showColumnStripes="0"/>
</table>
</file>

<file path=xl/tables/table15.xml><?xml version="1.0" encoding="utf-8"?>
<table xmlns="http://schemas.openxmlformats.org/spreadsheetml/2006/main" id="9" name="Table9" displayName="Table9" ref="I17:N28" totalsRowShown="0" headerRowDxfId="527" headerRowBorderDxfId="526" tableBorderDxfId="525" totalsRowBorderDxfId="524">
  <tableColumns count="6">
    <tableColumn id="1" name="Township" dataDxfId="523"/>
    <tableColumn id="6" name="Column1" dataDxfId="522"/>
    <tableColumn id="2" name="# of HH" dataDxfId="521" dataCellStyle="Comma"/>
    <tableColumn id="3" name="# of IDPs" dataDxfId="520" dataCellStyle="Comma"/>
    <tableColumn id="4" name="# of Planned Camp" dataDxfId="519" dataCellStyle="Comma">
      <calculatedColumnFormula>COUNTIFS(Camplist_Township,'CCCM Dashboard'!I18,CampList_Status,"open",CampList_TypeOfAcc,"Planned Camp")</calculatedColumnFormula>
    </tableColumn>
    <tableColumn id="5" name="# of Other Accomodation" dataDxfId="518">
      <calculatedColumnFormula>AV24-Table9[[#This Row],['# of Planned Camp]]</calculatedColumnFormula>
    </tableColumn>
  </tableColumns>
  <tableStyleInfo name="TableStyleLight10" showFirstColumn="0" showLastColumn="0" showRowStripes="1" showColumnStripes="0"/>
</table>
</file>

<file path=xl/tables/table16.xml><?xml version="1.0" encoding="utf-8"?>
<table xmlns="http://schemas.openxmlformats.org/spreadsheetml/2006/main" id="4" name="Data_Shelter_t" displayName="Data_Shelter_t" ref="A4:Y142" tableType="xml" totalsRowCount="1" headerRowDxfId="436" headerRowBorderDxfId="435" tableBorderDxfId="434" totalsRowBorderDxfId="433">
  <autoFilter ref="A4:Y141"/>
  <sortState ref="A5:Y138">
    <sortCondition descending="1" ref="A4:A138"/>
  </sortState>
  <tableColumns count="25">
    <tableColumn id="1" uniqueName="DateUpdated" name="DateUpdated" totalsRowLabel="Total" dataDxfId="432" totalsRowDxfId="431">
      <xmlColumnPr mapId="5" xpath="/dataroot/Data_Shelter_t/DateUpdated" xmlDataType="dateTime"/>
    </tableColumn>
    <tableColumn id="2" uniqueName="Organization" name="Organization" dataDxfId="430" totalsRowDxfId="429">
      <xmlColumnPr mapId="5" xpath="/dataroot/Data_Shelter_t/Organization" xmlDataType="string"/>
    </tableColumn>
    <tableColumn id="3" uniqueName="Implementing Partner" name="Implementing Partner" dataDxfId="428" totalsRowDxfId="427">
      <xmlColumnPr mapId="5" xpath="/dataroot/Data_Shelter_t/Implementing_x005f_x0020_Partner" xmlDataType="string"/>
    </tableColumn>
    <tableColumn id="4" uniqueName="State" name="State" dataDxfId="426" totalsRowDxfId="425">
      <xmlColumnPr mapId="5" xpath="/dataroot/Data_Shelter_t/State" xmlDataType="string"/>
    </tableColumn>
    <tableColumn id="5" uniqueName="Township" name="Township" dataDxfId="424" totalsRowDxfId="423">
      <xmlColumnPr mapId="5" xpath="/dataroot/Data_Shelter_t/Township" xmlDataType="string"/>
    </tableColumn>
    <tableColumn id="6" uniqueName="Camp Name" name="Camp Name" dataDxfId="422" totalsRowDxfId="421">
      <xmlColumnPr mapId="5" xpath="/dataroot/Data_Shelter_t/Camp_x005f_x0020_Name" xmlDataType="string"/>
    </tableColumn>
    <tableColumn id="7" uniqueName="HH per Shelter" name="HH per Shelter" dataDxfId="420" totalsRowDxfId="419">
      <xmlColumnPr mapId="5" xpath="/dataroot/Data_Shelter_t/HH_x005f_x0020_per_x005f_x0020_Shelter" xmlDataType="double"/>
    </tableColumn>
    <tableColumn id="8" uniqueName="#ofFamilyTentPlanned(Target)" name="#ofFamilyTentPlanned(Target)" totalsRowFunction="sum" dataDxfId="418" totalsRowDxfId="417">
      <xmlColumnPr mapId="5" xpath="/dataroot/Data_Shelter_t/_x005f_x0023_ofFamilyTentPlanned_x005f_x0028_Target_x005f_x0029_" xmlDataType="string"/>
    </tableColumn>
    <tableColumn id="9" uniqueName="#ofFamilyTentDistributed" name="#ofFamilyTentDistributed" totalsRowFunction="sum" dataDxfId="416" totalsRowDxfId="415">
      <xmlColumnPr mapId="5" xpath="/dataroot/Data_Shelter_t/_x005f_x0023_ofFamilyTentDistributed" xmlDataType="string"/>
    </tableColumn>
    <tableColumn id="10" uniqueName="# of Temporary Shelter Planned (Target)" name="# of Temporary Shelter Planned (Target)" totalsRowFunction="sum" dataDxfId="414" totalsRowDxfId="413">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412" totalsRowDxfId="411">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410" totalsRowDxfId="409">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408" totalsRowDxfId="407">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406" totalsRowDxfId="405">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404" totalsRowDxfId="403">
      <xmlColumnPr mapId="5" xpath="/dataroot/Data_Shelter_t/_x005f_x0023_ofPermanentHouseUnderConstruction" xmlDataType="string"/>
    </tableColumn>
    <tableColumn id="23" uniqueName="23" name="# of Individual Shelter Planned (Target)" totalsRowFunction="sum" dataDxfId="402" totalsRowDxfId="401"/>
    <tableColumn id="22" uniqueName="22" name="# of Individual Shelter Built" totalsRowFunction="sum" dataDxfId="400" totalsRowDxfId="399"/>
    <tableColumn id="16" uniqueName="HH Covered" name="#of Individual Shelter Under Construction" totalsRowFunction="sum" dataDxfId="398" totalsRowDxfId="397">
      <xmlColumnPr mapId="5" xpath="/dataroot/Data_Shelter_t/HH_x005f_x0020_Covered" xmlDataType="double"/>
    </tableColumn>
    <tableColumn id="17" uniqueName="17" name="HH Covered" totalsRowFunction="sum" dataDxfId="396" totalsRowDxfId="395"/>
    <tableColumn id="18" uniqueName="Pcode" name="HH Covered 2" totalsRowFunction="sum" dataDxfId="394" totalsRowDxfId="393">
      <calculatedColumnFormula>IF(Data_Shelter_t[[#This Row],[Status]]="Open",Data_Shelter_t[[#This Row],[HH Covered]],0)</calculatedColumnFormula>
      <xmlColumnPr mapId="5" xpath="/dataroot/Data_Shelter_t/Pcode" xmlDataType="string"/>
    </tableColumn>
    <tableColumn id="27" uniqueName="27" name="Pcode" dataDxfId="392" totalsRowDxfId="391"/>
    <tableColumn id="19" uniqueName="Status" name="Status" dataDxfId="390" totalsRowDxfId="389"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388" totalsRowDxfId="387">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386" totalsRowDxfId="385">
      <calculatedColumnFormula>Data_Shelter_t[[#This Row],['# of Permanent House Planned (Target)]]+Data_Shelter_t[[#This Row],['# of Individual Shelter Planned (Target)]]</calculatedColumnFormula>
    </tableColumn>
    <tableColumn id="25" uniqueName="25" name="Built" totalsRowFunction="sum" dataDxfId="384" totalsRowDxfId="383">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id="15" name="Data_Infrastructure" displayName="Data_Infrastructure" ref="A12:J45" tableType="xml" totalsRowShown="0" headerRowDxfId="380" dataDxfId="378" headerRowBorderDxfId="379">
  <autoFilter ref="A12:J45"/>
  <sortState ref="A13:J45">
    <sortCondition ref="D22"/>
  </sortState>
  <tableColumns count="10">
    <tableColumn id="1" uniqueName="Lot" name="Lot" dataDxfId="377">
      <xmlColumnPr mapId="3" xpath="/dataroot/Data_Infrastructure_t/Lot" xmlDataType="string"/>
    </tableColumn>
    <tableColumn id="8" uniqueName="State" name="State" dataDxfId="376">
      <xmlColumnPr mapId="3" xpath="/dataroot/Data_Infrastructure_t/State" xmlDataType="string"/>
    </tableColumn>
    <tableColumn id="9" uniqueName="Township" name="Township" dataDxfId="375">
      <xmlColumnPr mapId="3" xpath="/dataroot/Data_Infrastructure_t/Township" xmlDataType="string"/>
    </tableColumn>
    <tableColumn id="2" uniqueName="Camp" name="Camp" dataDxfId="374">
      <xmlColumnPr mapId="3" xpath="/dataroot/Data_Infrastructure_t/Camp" xmlDataType="string"/>
    </tableColumn>
    <tableColumn id="10" uniqueName="Pcode" name="Pcode" dataDxfId="373">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372">
      <xmlColumnPr mapId="3" xpath="/dataroot/Data_Infrastructure_t/Infrastructure" xmlDataType="string"/>
    </tableColumn>
    <tableColumn id="7" uniqueName="Type" name="Type" dataDxfId="371">
      <xmlColumnPr mapId="3" xpath="/dataroot/Data_Infrastructure_t/Type" xmlDataType="string"/>
    </tableColumn>
    <tableColumn id="4" uniqueName="Total" name="Total" dataDxfId="370" dataCellStyle="Comma 2">
      <xmlColumnPr mapId="3" xpath="/dataroot/Data_Infrastructure_t/Total" xmlDataType="double"/>
    </tableColumn>
    <tableColumn id="5" uniqueName="Status" name="Status" dataDxfId="369" dataCellStyle="Comma 2">
      <xmlColumnPr mapId="3" xpath="/dataroot/Data_Infrastructure_t/Status" xmlDataType="string"/>
    </tableColumn>
    <tableColumn id="6" uniqueName="Comment" name="Comment" dataDxfId="368">
      <xmlColumnPr mapId="3" xpath="/dataroot/Data_Infrastructure_t/Comment" xmlDataType="string"/>
    </tableColumn>
  </tableColumns>
  <tableStyleInfo name="TableStyleMedium2" showFirstColumn="0" showLastColumn="0" showRowStripes="1" showColumnStripes="0"/>
</table>
</file>

<file path=xl/tables/table18.xml><?xml version="1.0" encoding="utf-8"?>
<table xmlns="http://schemas.openxmlformats.org/spreadsheetml/2006/main" id="8" name="Table8" displayName="Table8" ref="A17:G28" totalsRowShown="0" headerRowBorderDxfId="343" tableBorderDxfId="342">
  <tableColumns count="7">
    <tableColumn id="1" name="Township" dataDxfId="341"/>
    <tableColumn id="2" name="# of HH" dataDxfId="340" dataCellStyle="Comma"/>
    <tableColumn id="3" name="# of Ind." dataDxfId="339" dataCellStyle="Comma"/>
    <tableColumn id="4" name="# of Camp" dataDxfId="338" dataCellStyle="Comma"/>
    <tableColumn id="5" name="# Ind. Covered" dataDxfId="337" dataCellStyle="Comma">
      <calculatedColumnFormula>'Shelter Progress'!O6</calculatedColumnFormula>
    </tableColumn>
    <tableColumn id="6" name="# Ind. Not Covered" dataDxfId="336" dataCellStyle="Comma">
      <calculatedColumnFormula>'Shelter Progress'!R6</calculatedColumnFormula>
    </tableColumn>
    <tableColumn id="7" name="% Coverage" dataDxfId="335" dataCellStyle="Percent">
      <calculatedColumnFormula>IFERROR(E18/(E18+F18),0)</calculatedColumnFormula>
    </tableColumn>
  </tableColumns>
  <tableStyleInfo name="TableStyleMedium24" showFirstColumn="0" showLastColumn="0" showRowStripes="1" showColumnStripes="0"/>
</table>
</file>

<file path=xl/tables/table19.xml><?xml version="1.0" encoding="utf-8"?>
<table xmlns="http://schemas.openxmlformats.org/spreadsheetml/2006/main" id="12" name="Table58" displayName="Table58" ref="T2:AG13" totalsRowShown="0" headerRowDxfId="329" dataDxfId="327" headerRowBorderDxfId="328" tableBorderDxfId="326" totalsRowBorderDxfId="325" dataCellStyle="Percent">
  <autoFilter ref="T2:AG13"/>
  <tableColumns count="14">
    <tableColumn id="1" name="Pcode" dataDxfId="324" totalsRowDxfId="323"/>
    <tableColumn id="2" name="Township" dataDxfId="322" totalsRowDxfId="321">
      <calculatedColumnFormula>'CCCM Dashboard'!I18</calculatedColumnFormula>
    </tableColumn>
    <tableColumn id="3" name="Long." dataDxfId="320" totalsRowDxfId="319"/>
    <tableColumn id="4" name="Lat." dataDxfId="318" totalsRowDxfId="317"/>
    <tableColumn id="5" name="HS" dataDxfId="316" totalsRowDxfId="315">
      <calculatedColumnFormula>'CCCM Dashboard'!K18</calculatedColumnFormula>
    </tableColumn>
    <tableColumn id="6" name="Pop" dataDxfId="314" totalsRowDxfId="313" dataCellStyle="Comma">
      <calculatedColumnFormula>'CCCM Dashboard'!L18</calculatedColumnFormula>
    </tableColumn>
    <tableColumn id="7" name="N_cps" dataDxfId="312" totalsRowDxfId="311">
      <calculatedColumnFormula>'CCCM Dashboard'!M18</calculatedColumnFormula>
    </tableColumn>
    <tableColumn id="8" name="Coverage" dataDxfId="310" totalsRowDxfId="309" dataCellStyle="Percent"/>
    <tableColumn id="9" name="Hygiene" dataDxfId="308" totalsRowDxfId="307" dataCellStyle="Percent"/>
    <tableColumn id="10" name="Core" dataDxfId="306" totalsRowDxfId="305" dataCellStyle="Percent"/>
    <tableColumn id="11" name="Sanitary" dataDxfId="304" totalsRowDxfId="303" dataCellStyle="Percent"/>
    <tableColumn id="12" name="Y" dataDxfId="302" totalsRowDxfId="301">
      <calculatedColumnFormula>$S$3-ROUND((W3-$S$1)*$S$5,0)</calculatedColumnFormula>
    </tableColumn>
    <tableColumn id="13" name="X" dataDxfId="300" totalsRowDxfId="299">
      <calculatedColumnFormula>ROUND((V3-$S$2)*$S$5,0)+$S$4</calculatedColumnFormula>
    </tableColumn>
    <tableColumn id="14" name="Column1" dataDxfId="298" totalsRowDxfId="297" dataCellStyle="Comma"/>
  </tableColumns>
  <tableStyleInfo name="TableStyleMedium10"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893" dataDxfId="892">
  <autoFilter ref="L1:L11"/>
  <tableColumns count="1">
    <tableColumn id="1" name="Rakhine" dataDxfId="891"/>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F395" tableType="xml" totalsRowCount="1" headerRowDxfId="293" headerRowBorderDxfId="292" tableBorderDxfId="291">
  <autoFilter ref="A5:AF394"/>
  <sortState ref="A6:AF391">
    <sortCondition descending="1" ref="C5:C391"/>
  </sortState>
  <tableColumns count="32">
    <tableColumn id="29" uniqueName="Months" name="Months" dataDxfId="290">
      <calculatedColumnFormula>IF(ISBLANK(C6),"",(Report_Date-C6)/30)</calculatedColumnFormula>
      <xmlColumnPr mapId="4" xpath="/dataroot/Data_NFI_T/Months" xmlDataType="double"/>
    </tableColumn>
    <tableColumn id="31" uniqueName="year" name="year" dataDxfId="289" totalsRowDxfId="288">
      <calculatedColumnFormula>YEAR(Data_NFI_t[[#This Row],[Distribution Date]])</calculatedColumnFormula>
      <xmlColumnPr mapId="4" xpath="/dataroot/Data_NFI_T/year" xmlDataType="double"/>
    </tableColumn>
    <tableColumn id="1" uniqueName="Distribution Date" name="Distribution Date" dataDxfId="287">
      <xmlColumnPr mapId="4" xpath="/dataroot/Data_NFI_T/Distribution_x005f_x0020_Date" xmlDataType="dateTime"/>
    </tableColumn>
    <tableColumn id="2" uniqueName="Organization" name="Organization" dataDxfId="286">
      <xmlColumnPr mapId="4" xpath="/dataroot/Data_NFI_T/Organization" xmlDataType="string"/>
    </tableColumn>
    <tableColumn id="3" uniqueName="Implementing Partner" name="Implementing Partner" dataDxfId="285" totalsRowDxfId="284">
      <xmlColumnPr mapId="4" xpath="/dataroot/Data_NFI_T/Implementing_x005f_x0020_Partner" xmlDataType="string"/>
    </tableColumn>
    <tableColumn id="4" uniqueName="State" name="State" dataDxfId="283">
      <xmlColumnPr mapId="4" xpath="/dataroot/Data_NFI_T/State" xmlDataType="string"/>
    </tableColumn>
    <tableColumn id="5" uniqueName="Township" name="Township" dataDxfId="282">
      <xmlColumnPr mapId="4" xpath="/dataroot/Data_NFI_T/Township" xmlDataType="string"/>
    </tableColumn>
    <tableColumn id="6" uniqueName="Camp Name" name="Camp Name" dataDxfId="281">
      <xmlColumnPr mapId="4" xpath="/dataroot/Data_NFI_T/Camp_x005f_x0020_Name" xmlDataType="string"/>
    </tableColumn>
    <tableColumn id="7" uniqueName="Hygiene Kit" name="Hygiene Kit" dataDxfId="280" totalsRowDxfId="279">
      <xmlColumnPr mapId="4" xpath="/dataroot/Data_NFI_T/Hygiene_x005f_x0020_Kit" xmlDataType="string"/>
    </tableColumn>
    <tableColumn id="8" uniqueName="NFI Core Kit" name="NFI Core Kit" dataDxfId="278" totalsRowDxfId="277">
      <xmlColumnPr mapId="4" xpath="/dataroot/Data_NFI_T/NFI_x005f_x0020_Core_x005f_x0020_Kit" xmlDataType="string"/>
    </tableColumn>
    <tableColumn id="9" uniqueName="Sanitary Kit" name="Sanitary Kit" dataDxfId="276" totalsRowDxfId="275">
      <xmlColumnPr mapId="4" xpath="/dataroot/Data_NFI_T/Sanitary_x005f_x0020_Kit" xmlDataType="string"/>
    </tableColumn>
    <tableColumn id="10" uniqueName="Mosquito net" name="Mosquito net" dataDxfId="274" totalsRowDxfId="273">
      <xmlColumnPr mapId="4" xpath="/dataroot/Data_NFI_T/Mosquito_x005f_x0020_net" xmlDataType="string"/>
    </tableColumn>
    <tableColumn id="11" uniqueName="Tarpaulin" name="Tarpaulin" dataDxfId="272" totalsRowDxfId="271">
      <xmlColumnPr mapId="4" xpath="/dataroot/Data_NFI_T/Tarpaulin" xmlDataType="double"/>
    </tableColumn>
    <tableColumn id="12" uniqueName="Blanket" name="Blanket" dataDxfId="270" totalsRowDxfId="269">
      <xmlColumnPr mapId="4" xpath="/dataroot/Data_NFI_T/Blanket" xmlDataType="string"/>
    </tableColumn>
    <tableColumn id="13" uniqueName="Kitchen Set" name="Kitchen Set" dataDxfId="268" totalsRowDxfId="267">
      <xmlColumnPr mapId="4" xpath="/dataroot/Data_NFI_T/Kitchen_x005f_x0020_Set" xmlDataType="string"/>
    </tableColumn>
    <tableColumn id="14" uniqueName="Complementary Kit" name="Complementary Kit" dataDxfId="266" totalsRowDxfId="265">
      <xmlColumnPr mapId="4" xpath="/dataroot/Data_NFI_T/Complementary_x005f_x0020_Kit" xmlDataType="string"/>
    </tableColumn>
    <tableColumn id="26" uniqueName="Plastic Bucket" name="Plastic Bucket" dataDxfId="264" totalsRowDxfId="263">
      <xmlColumnPr mapId="4" xpath="/dataroot/Data_NFI_T/Plastic_x005f_x0020_Bucket" xmlDataType="string"/>
    </tableColumn>
    <tableColumn id="30" uniqueName="30" name="Jerry Can" dataDxfId="262" totalsRowDxfId="261"/>
    <tableColumn id="25" uniqueName="Plastic Mat" name="Plastic Mat" dataDxfId="260" totalsRowDxfId="259">
      <xmlColumnPr mapId="4" xpath="/dataroot/Data_NFI_T/Plastic_x005f_x0020_Mat" xmlDataType="string"/>
    </tableColumn>
    <tableColumn id="15" uniqueName="Hygiene Kit_LS" name="Hygiene Kit_LS" dataDxfId="258">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257">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256">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255">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254">
      <calculatedColumnFormula>IF(NFI_Expiration=1,IF($A6&lt;VLOOKUP(M$5,NFI,5,0),1,0)*Data_NFI_t[[#This Row],[Tarpaulin]],0)</calculatedColumnFormula>
      <xmlColumnPr mapId="4" xpath="/dataroot/Data_NFI_T/Tarpaulin_LS" xmlDataType="double"/>
    </tableColumn>
    <tableColumn id="20" uniqueName="Blanket_LS" name="Blanket_LS" dataDxfId="253">
      <calculatedColumnFormula>IF(NFI_Expiration=1,IF($A6&lt;VLOOKUP(N$5,NFI,5,0),1,0)*Data_NFI_t[[#This Row],[Blanket]],0)</calculatedColumnFormula>
      <xmlColumnPr mapId="4" xpath="/dataroot/Data_NFI_T/Blanket_LS" xmlDataType="double"/>
    </tableColumn>
    <tableColumn id="21" uniqueName="Kitchen Set_LS" name="Kitchen Set_LS" dataDxfId="252">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251">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250">
      <calculatedColumnFormula>IF(NFI_Expiration=1,IF($A6&lt;VLOOKUP(Q$5,NFI,5,0),1,0)*Data_NFI_t[[#This Row],[Plastic Bucket]],0)</calculatedColumnFormula>
      <xmlColumnPr mapId="4" xpath="/dataroot/Data_NFI_T/Plastic_x005f_x0020_Bucket_LS" xmlDataType="double"/>
    </tableColumn>
    <tableColumn id="33" uniqueName="33" name="Jerry Can_LS" dataDxfId="249">
      <calculatedColumnFormula>IF(NFI_Expiration=1,IF($A6&lt;VLOOKUP(R$5,NFI,5,0),1,0)*Data_NFI_t[[#This Row],[Jerry Can]],0)</calculatedColumnFormula>
    </tableColumn>
    <tableColumn id="27" uniqueName="Plastic  Mat_LS" name="Plastic  Mat_LS" dataDxfId="248">
      <calculatedColumnFormula>IF(NFI_Expiration=1,IF($A6&lt;VLOOKUP(S$5,NFI,5,0),1,0)*Data_NFI_t[[#This Row],[Plastic Mat]],0)*IF(Data_NFI_t[[#This Row],[Distribution Date]]&gt;"01-04-2014",1,2.5)</calculatedColumnFormula>
      <xmlColumnPr mapId="4" xpath="/dataroot/Data_NFI_T/Plastic_x005f_x0020__x005f_x0020_Mat_LS" xmlDataType="double"/>
    </tableColumn>
    <tableColumn id="23" uniqueName="Pcode" name="Pcode" dataDxfId="247">
      <calculatedColumnFormula>IFERROR(OFFSET(Camp_List[P_Code],MATCH(Data_NFI_t[[#This Row],[Camp Name]],Camp_List[Camp Name],0)-1,0,1,1),"")</calculatedColumnFormula>
      <xmlColumnPr mapId="4" xpath="/dataroot/Data_NFI_T/Pcode" xmlDataType="string"/>
    </tableColumn>
    <tableColumn id="24" uniqueName="Status" name="Status" dataDxfId="246">
      <calculatedColumnFormula>IFERROR(OFFSET(Camp_List[Status],MATCH(Data_NFI_t[[#This Row],[Camp Name]],Camp_List[Camp Name],0)-1,0,1,1),"")</calculatedColumnFormula>
      <xmlColumnPr mapId="4" xpath="/dataroot/Data_NFI_T/Status" xmlDataType="string"/>
    </tableColumn>
  </tableColumns>
  <tableStyleInfo name="TableStyleLight1"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5" totalsRowShown="0" headerRowDxfId="890" dataDxfId="889">
  <autoFilter ref="N1:N5"/>
  <sortState ref="N2:N5">
    <sortCondition ref="N3"/>
  </sortState>
  <tableColumns count="1">
    <tableColumn id="1" name="Type of Accomodation" dataDxfId="888"/>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887" dataDxfId="886">
  <autoFilter ref="P1:P4"/>
  <tableColumns count="1">
    <tableColumn id="1" name="Camp_Acessibility" dataDxfId="885"/>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2" totalsRowShown="0">
  <autoFilter ref="A1:F12"/>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884">
  <autoFilter ref="Z1:AB7"/>
  <sortState ref="Z2:AB7">
    <sortCondition ref="Z6"/>
  </sortState>
  <tableColumns count="3">
    <tableColumn id="1" name="Organization_Code" dataDxfId="883"/>
    <tableColumn id="2" name="Organization" dataDxfId="882"/>
    <tableColumn id="3" name="Contact" dataDxfId="881"/>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14.xml"/><Relationship Id="rId4" Type="http://schemas.microsoft.com/office/2007/relationships/slicer" Target="../slicers/slicer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6.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ivotTable" Target="../pivotTables/pivotTable17.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22.xml"/><Relationship Id="rId2" Type="http://schemas.openxmlformats.org/officeDocument/2006/relationships/pivotTable" Target="../pivotTables/pivotTable21.xml"/><Relationship Id="rId1" Type="http://schemas.openxmlformats.org/officeDocument/2006/relationships/pivotTable" Target="../pivotTables/pivotTable20.xml"/><Relationship Id="rId5" Type="http://schemas.openxmlformats.org/officeDocument/2006/relationships/drawing" Target="../drawings/drawing13.xml"/><Relationship Id="rId4"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9.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5" Type="http://schemas.openxmlformats.org/officeDocument/2006/relationships/drawing" Target="../drawings/drawing20.xml"/><Relationship Id="rId4"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table" Target="../tables/table13.xm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openxmlformats.org/officeDocument/2006/relationships/table" Target="../tables/table14.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13.xml"/><Relationship Id="rId3" Type="http://schemas.openxmlformats.org/officeDocument/2006/relationships/pivotTable" Target="../pivotTables/pivotTable8.xml"/><Relationship Id="rId7" Type="http://schemas.openxmlformats.org/officeDocument/2006/relationships/pivotTable" Target="../pivotTables/pivotTable12.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5" Type="http://schemas.openxmlformats.org/officeDocument/2006/relationships/pivotTable" Target="../pivotTables/pivotTable10.xml"/><Relationship Id="rId10" Type="http://schemas.openxmlformats.org/officeDocument/2006/relationships/drawing" Target="../drawings/drawing5.xml"/><Relationship Id="rId4" Type="http://schemas.openxmlformats.org/officeDocument/2006/relationships/pivotTable" Target="../pivotTables/pivotTable9.xml"/><Relationship Id="rId9"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47"/>
      <c r="B1" s="148"/>
      <c r="C1" s="102"/>
      <c r="E1" t="s">
        <v>701</v>
      </c>
      <c r="K1" t="s">
        <v>702</v>
      </c>
      <c r="L1" t="s">
        <v>703</v>
      </c>
    </row>
    <row r="2" spans="1:13" ht="51.75" x14ac:dyDescent="0.25">
      <c r="A2" s="147"/>
      <c r="B2" s="148" t="s">
        <v>704</v>
      </c>
      <c r="C2" s="148" t="str">
        <f>CONCATENATE("d:\",C3,".kml")</f>
        <v>d:\Rakhine_CampList_20151201.kml</v>
      </c>
      <c r="G2" t="s">
        <v>705</v>
      </c>
      <c r="H2" t="s">
        <v>706</v>
      </c>
      <c r="K2" t="s">
        <v>707</v>
      </c>
      <c r="L2" t="s">
        <v>708</v>
      </c>
      <c r="M2" t="s">
        <v>709</v>
      </c>
    </row>
    <row r="3" spans="1:13" x14ac:dyDescent="0.25">
      <c r="A3" s="147"/>
      <c r="B3" s="149" t="s">
        <v>710</v>
      </c>
      <c r="C3" s="102" t="str">
        <f>CONCATENATE("Rakhine_CampList_",TEXT(Report_Date,"yyyymmdd"))</f>
        <v>Rakhine_CampList_20151201</v>
      </c>
      <c r="G3" t="s">
        <v>711</v>
      </c>
      <c r="H3" t="s">
        <v>712</v>
      </c>
      <c r="K3" t="s">
        <v>713</v>
      </c>
      <c r="L3" t="s">
        <v>714</v>
      </c>
      <c r="M3" t="s">
        <v>715</v>
      </c>
    </row>
    <row r="4" spans="1:13" x14ac:dyDescent="0.25">
      <c r="A4" s="147"/>
      <c r="B4" s="149"/>
      <c r="C4" s="102"/>
      <c r="G4" t="s">
        <v>716</v>
      </c>
      <c r="H4" t="s">
        <v>717</v>
      </c>
      <c r="K4" t="s">
        <v>718</v>
      </c>
      <c r="L4" t="s">
        <v>719</v>
      </c>
      <c r="M4" t="s">
        <v>720</v>
      </c>
    </row>
    <row r="5" spans="1:13" x14ac:dyDescent="0.25">
      <c r="B5" t="s">
        <v>721</v>
      </c>
      <c r="C5" t="s">
        <v>722</v>
      </c>
      <c r="K5" t="s">
        <v>723</v>
      </c>
      <c r="L5" t="s">
        <v>724</v>
      </c>
      <c r="M5" t="s">
        <v>725</v>
      </c>
    </row>
    <row r="6" spans="1:13" x14ac:dyDescent="0.25">
      <c r="B6" t="s">
        <v>726</v>
      </c>
      <c r="C6" t="s">
        <v>727</v>
      </c>
      <c r="K6" t="s">
        <v>728</v>
      </c>
      <c r="L6" t="s">
        <v>729</v>
      </c>
      <c r="M6" t="s">
        <v>730</v>
      </c>
    </row>
    <row r="8" spans="1:13" x14ac:dyDescent="0.25">
      <c r="B8" t="s">
        <v>692</v>
      </c>
      <c r="C8" t="s">
        <v>693</v>
      </c>
    </row>
    <row r="9" spans="1:13" x14ac:dyDescent="0.25">
      <c r="B9" t="s">
        <v>694</v>
      </c>
      <c r="C9" t="s">
        <v>695</v>
      </c>
      <c r="D9" t="s">
        <v>696</v>
      </c>
    </row>
    <row r="10" spans="1:13" x14ac:dyDescent="0.25">
      <c r="B10" t="s">
        <v>697</v>
      </c>
      <c r="C10" t="s">
        <v>698</v>
      </c>
    </row>
    <row r="11" spans="1:13" x14ac:dyDescent="0.25">
      <c r="B11" t="s">
        <v>699</v>
      </c>
      <c r="C11" t="s">
        <v>700</v>
      </c>
    </row>
    <row r="13" spans="1:13" x14ac:dyDescent="0.25">
      <c r="B13" t="s">
        <v>731</v>
      </c>
      <c r="C13" t="s">
        <v>732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D25" sqref="D25"/>
    </sheetView>
  </sheetViews>
  <sheetFormatPr defaultRowHeight="15" x14ac:dyDescent="0.25"/>
  <cols>
    <col min="1" max="1" width="21.7109375" customWidth="1"/>
    <col min="2" max="2" width="23.5703125" customWidth="1"/>
    <col min="3" max="3" width="17.7109375" customWidth="1"/>
    <col min="4" max="4" width="17" customWidth="1"/>
    <col min="5" max="5" width="17.7109375" customWidth="1"/>
    <col min="6" max="6" width="7.140625" bestFit="1" customWidth="1"/>
    <col min="7" max="7" width="8.42578125" customWidth="1"/>
    <col min="8" max="8" width="9.5703125" customWidth="1"/>
    <col min="9" max="9" width="7.7109375" customWidth="1"/>
  </cols>
  <sheetData>
    <row r="1" spans="1:61" s="1" customFormat="1" ht="36" x14ac:dyDescent="0.25">
      <c r="A1" s="207"/>
      <c r="B1" s="208"/>
      <c r="C1" s="208"/>
      <c r="D1" s="208"/>
      <c r="E1" s="208"/>
      <c r="F1" s="208"/>
      <c r="G1" s="224"/>
      <c r="H1" s="224"/>
      <c r="I1" s="107"/>
      <c r="J1" s="107"/>
      <c r="K1" s="107"/>
      <c r="L1" s="107"/>
      <c r="M1" s="107"/>
      <c r="N1" s="107"/>
      <c r="O1" s="107"/>
      <c r="P1" s="107"/>
      <c r="Q1" s="107"/>
      <c r="R1" s="107"/>
      <c r="S1" s="228"/>
      <c r="T1" s="228"/>
      <c r="U1" s="107"/>
      <c r="V1" s="229"/>
      <c r="W1" s="229"/>
      <c r="X1" s="55"/>
      <c r="Y1" s="55"/>
      <c r="BH1" s="80"/>
      <c r="BI1" s="80"/>
    </row>
    <row r="2" spans="1:61" s="1" customFormat="1" ht="36" x14ac:dyDescent="0.25">
      <c r="A2" s="766" t="s">
        <v>622</v>
      </c>
      <c r="B2" s="767"/>
      <c r="C2" s="767"/>
      <c r="D2" s="79"/>
      <c r="E2" s="79"/>
      <c r="F2" s="79"/>
      <c r="G2" s="232"/>
      <c r="H2" s="232"/>
      <c r="I2" s="107"/>
      <c r="J2" s="107"/>
      <c r="K2" s="107"/>
      <c r="L2" s="107"/>
      <c r="M2" s="107"/>
      <c r="N2" s="107"/>
      <c r="O2" s="107"/>
      <c r="P2" s="107"/>
      <c r="Q2" s="6"/>
      <c r="R2" s="6"/>
      <c r="S2" s="6"/>
      <c r="T2" s="6"/>
      <c r="U2" s="6"/>
      <c r="V2" s="55"/>
      <c r="W2" s="55"/>
      <c r="X2" s="55"/>
      <c r="Y2" s="55"/>
      <c r="BF2" s="80"/>
      <c r="BG2" s="80"/>
    </row>
    <row r="3" spans="1:61" s="21" customFormat="1" ht="18" customHeight="1" x14ac:dyDescent="0.25">
      <c r="A3" s="768">
        <f>Report_Date</f>
        <v>42339</v>
      </c>
      <c r="B3" s="769"/>
      <c r="C3" s="769"/>
      <c r="D3" s="212"/>
      <c r="E3" s="212"/>
      <c r="F3" s="212"/>
      <c r="G3" s="233"/>
      <c r="H3" s="233"/>
      <c r="I3" s="230"/>
      <c r="J3" s="230"/>
      <c r="K3" s="55"/>
      <c r="L3" s="230"/>
      <c r="M3" s="230"/>
      <c r="N3" s="230"/>
      <c r="O3" s="230"/>
      <c r="P3" s="230"/>
      <c r="Q3" s="230"/>
      <c r="R3" s="6"/>
      <c r="S3" s="231"/>
      <c r="T3" s="230"/>
      <c r="U3" s="230"/>
      <c r="V3" s="55"/>
      <c r="W3" s="55"/>
      <c r="X3" s="55"/>
      <c r="Y3" s="55"/>
      <c r="BF3" s="81"/>
      <c r="BG3" s="81"/>
    </row>
    <row r="4" spans="1:61" s="102" customFormat="1" hidden="1" x14ac:dyDescent="0.25"/>
    <row r="5" spans="1:61" s="102" customFormat="1" hidden="1" x14ac:dyDescent="0.25"/>
    <row r="6" spans="1:61" hidden="1" x14ac:dyDescent="0.25">
      <c r="A6" s="56" t="s">
        <v>355</v>
      </c>
      <c r="B6" s="102" t="s">
        <v>358</v>
      </c>
    </row>
    <row r="8" spans="1:61" s="149" customFormat="1" x14ac:dyDescent="0.25">
      <c r="A8" s="289" t="s">
        <v>0</v>
      </c>
      <c r="B8" s="289" t="s">
        <v>9</v>
      </c>
      <c r="C8" s="289" t="s">
        <v>8</v>
      </c>
      <c r="D8" s="289" t="s">
        <v>944</v>
      </c>
      <c r="E8" s="289" t="s">
        <v>690</v>
      </c>
      <c r="F8" s="149" t="s">
        <v>620</v>
      </c>
      <c r="G8" s="149" t="s">
        <v>621</v>
      </c>
      <c r="H8" s="102" t="s">
        <v>943</v>
      </c>
    </row>
    <row r="9" spans="1:61" ht="12" customHeight="1" x14ac:dyDescent="0.25">
      <c r="A9" s="102" t="s">
        <v>17</v>
      </c>
      <c r="B9" s="102" t="s">
        <v>484</v>
      </c>
      <c r="C9" s="102" t="s">
        <v>147</v>
      </c>
      <c r="D9" s="102" t="s">
        <v>288</v>
      </c>
      <c r="E9" s="102" t="s">
        <v>688</v>
      </c>
      <c r="F9" s="129">
        <v>65</v>
      </c>
      <c r="G9" s="129">
        <v>327</v>
      </c>
      <c r="H9" s="4">
        <v>1</v>
      </c>
    </row>
    <row r="10" spans="1:61" ht="12" customHeight="1" x14ac:dyDescent="0.25">
      <c r="B10" s="102" t="s">
        <v>58</v>
      </c>
      <c r="C10" s="102" t="s">
        <v>146</v>
      </c>
      <c r="D10" s="102" t="s">
        <v>288</v>
      </c>
      <c r="E10" s="102" t="s">
        <v>688</v>
      </c>
      <c r="F10" s="129">
        <v>427</v>
      </c>
      <c r="G10" s="129">
        <v>1274</v>
      </c>
      <c r="H10" s="4">
        <v>1</v>
      </c>
    </row>
    <row r="11" spans="1:61" ht="12" customHeight="1" x14ac:dyDescent="0.25">
      <c r="A11" s="102" t="s">
        <v>666</v>
      </c>
      <c r="B11" s="102"/>
      <c r="C11" s="102"/>
      <c r="D11" s="102"/>
      <c r="E11" s="102"/>
      <c r="F11" s="129">
        <v>492</v>
      </c>
      <c r="G11" s="129">
        <v>1601</v>
      </c>
      <c r="H11" s="4">
        <v>2</v>
      </c>
    </row>
    <row r="12" spans="1:61" ht="12" customHeight="1" x14ac:dyDescent="0.25">
      <c r="A12" s="102" t="s">
        <v>15</v>
      </c>
      <c r="B12" s="102" t="s">
        <v>46</v>
      </c>
      <c r="C12" s="102" t="s">
        <v>133</v>
      </c>
      <c r="D12" s="102" t="s">
        <v>288</v>
      </c>
      <c r="E12" s="102" t="s">
        <v>688</v>
      </c>
      <c r="F12" s="129">
        <v>24</v>
      </c>
      <c r="G12" s="129">
        <v>140</v>
      </c>
      <c r="H12" s="4">
        <v>1</v>
      </c>
    </row>
    <row r="13" spans="1:61" ht="12" customHeight="1" x14ac:dyDescent="0.25">
      <c r="B13" s="102" t="s">
        <v>49</v>
      </c>
      <c r="C13" s="102" t="s">
        <v>136</v>
      </c>
      <c r="D13" s="102" t="s">
        <v>288</v>
      </c>
      <c r="E13" s="102" t="s">
        <v>688</v>
      </c>
      <c r="F13" s="129">
        <v>14</v>
      </c>
      <c r="G13" s="129">
        <v>84</v>
      </c>
      <c r="H13" s="4">
        <v>1</v>
      </c>
    </row>
    <row r="14" spans="1:61" ht="12" customHeight="1" x14ac:dyDescent="0.25">
      <c r="B14" s="102" t="s">
        <v>48</v>
      </c>
      <c r="C14" s="102" t="s">
        <v>135</v>
      </c>
      <c r="D14" s="102" t="s">
        <v>288</v>
      </c>
      <c r="E14" s="102" t="s">
        <v>688</v>
      </c>
      <c r="F14" s="129">
        <v>92</v>
      </c>
      <c r="G14" s="129">
        <v>559</v>
      </c>
      <c r="H14" s="4">
        <v>1</v>
      </c>
    </row>
    <row r="15" spans="1:61" ht="12" customHeight="1" x14ac:dyDescent="0.25">
      <c r="B15" s="102" t="s">
        <v>51</v>
      </c>
      <c r="C15" s="102" t="s">
        <v>138</v>
      </c>
      <c r="D15" s="102" t="s">
        <v>288</v>
      </c>
      <c r="E15" s="102" t="s">
        <v>688</v>
      </c>
      <c r="F15" s="129">
        <v>116</v>
      </c>
      <c r="G15" s="129">
        <v>802</v>
      </c>
      <c r="H15" s="4">
        <v>1</v>
      </c>
    </row>
    <row r="16" spans="1:61" ht="12" customHeight="1" x14ac:dyDescent="0.25">
      <c r="B16" s="102" t="s">
        <v>50</v>
      </c>
      <c r="C16" s="102" t="s">
        <v>137</v>
      </c>
      <c r="D16" s="102" t="s">
        <v>288</v>
      </c>
      <c r="E16" s="102" t="s">
        <v>688</v>
      </c>
      <c r="F16" s="129">
        <v>236</v>
      </c>
      <c r="G16" s="129">
        <v>1524</v>
      </c>
      <c r="H16" s="4">
        <v>1</v>
      </c>
    </row>
    <row r="17" spans="1:8" ht="12" customHeight="1" x14ac:dyDescent="0.25">
      <c r="B17" s="102" t="s">
        <v>54</v>
      </c>
      <c r="C17" s="102" t="s">
        <v>141</v>
      </c>
      <c r="D17" s="102" t="s">
        <v>288</v>
      </c>
      <c r="E17" s="102" t="s">
        <v>688</v>
      </c>
      <c r="F17" s="129">
        <v>97</v>
      </c>
      <c r="G17" s="129">
        <v>557</v>
      </c>
      <c r="H17" s="4">
        <v>1</v>
      </c>
    </row>
    <row r="18" spans="1:8" ht="12" customHeight="1" x14ac:dyDescent="0.25">
      <c r="B18" s="102" t="s">
        <v>44</v>
      </c>
      <c r="C18" s="102" t="s">
        <v>131</v>
      </c>
      <c r="D18" s="102" t="s">
        <v>288</v>
      </c>
      <c r="E18" s="102" t="s">
        <v>688</v>
      </c>
      <c r="F18" s="129">
        <v>18</v>
      </c>
      <c r="G18" s="129">
        <v>157</v>
      </c>
      <c r="H18" s="4">
        <v>1</v>
      </c>
    </row>
    <row r="19" spans="1:8" ht="12" customHeight="1" x14ac:dyDescent="0.25">
      <c r="B19" s="102" t="s">
        <v>47</v>
      </c>
      <c r="C19" s="102" t="s">
        <v>134</v>
      </c>
      <c r="D19" s="102" t="s">
        <v>288</v>
      </c>
      <c r="E19" s="102" t="s">
        <v>688</v>
      </c>
      <c r="F19" s="129">
        <v>85</v>
      </c>
      <c r="G19" s="129">
        <v>531</v>
      </c>
      <c r="H19" s="4">
        <v>1</v>
      </c>
    </row>
    <row r="20" spans="1:8" ht="12" customHeight="1" x14ac:dyDescent="0.25">
      <c r="B20" s="102" t="s">
        <v>53</v>
      </c>
      <c r="C20" s="102" t="s">
        <v>140</v>
      </c>
      <c r="D20" s="102" t="s">
        <v>288</v>
      </c>
      <c r="E20" s="102" t="s">
        <v>688</v>
      </c>
      <c r="F20" s="129">
        <v>144</v>
      </c>
      <c r="G20" s="129">
        <v>1006</v>
      </c>
      <c r="H20" s="4">
        <v>1</v>
      </c>
    </row>
    <row r="21" spans="1:8" ht="12" customHeight="1" x14ac:dyDescent="0.25">
      <c r="B21" s="102" t="s">
        <v>45</v>
      </c>
      <c r="C21" s="102" t="s">
        <v>132</v>
      </c>
      <c r="D21" s="102" t="s">
        <v>288</v>
      </c>
      <c r="E21" s="102" t="s">
        <v>688</v>
      </c>
      <c r="F21" s="129">
        <v>63</v>
      </c>
      <c r="G21" s="129">
        <v>414</v>
      </c>
      <c r="H21" s="4">
        <v>1</v>
      </c>
    </row>
    <row r="22" spans="1:8" ht="12" customHeight="1" x14ac:dyDescent="0.25">
      <c r="B22" s="102" t="s">
        <v>52</v>
      </c>
      <c r="C22" s="102" t="s">
        <v>139</v>
      </c>
      <c r="D22" s="102" t="s">
        <v>288</v>
      </c>
      <c r="E22" s="102" t="s">
        <v>688</v>
      </c>
      <c r="F22" s="129">
        <v>112</v>
      </c>
      <c r="G22" s="129">
        <v>738</v>
      </c>
      <c r="H22" s="4">
        <v>1</v>
      </c>
    </row>
    <row r="23" spans="1:8" ht="12" customHeight="1" x14ac:dyDescent="0.25">
      <c r="A23" s="102" t="s">
        <v>831</v>
      </c>
      <c r="B23" s="102"/>
      <c r="C23" s="102"/>
      <c r="D23" s="102"/>
      <c r="E23" s="102"/>
      <c r="F23" s="129">
        <v>1001</v>
      </c>
      <c r="G23" s="129">
        <v>6512</v>
      </c>
      <c r="H23" s="4">
        <v>11</v>
      </c>
    </row>
    <row r="24" spans="1:8" ht="12" customHeight="1" x14ac:dyDescent="0.25">
      <c r="A24" s="102" t="s">
        <v>20</v>
      </c>
      <c r="B24" s="102" t="s">
        <v>106</v>
      </c>
      <c r="C24" s="102" t="s">
        <v>195</v>
      </c>
      <c r="D24" s="102" t="s">
        <v>288</v>
      </c>
      <c r="E24" s="102" t="s">
        <v>688</v>
      </c>
      <c r="F24" s="129">
        <v>16</v>
      </c>
      <c r="G24" s="129">
        <v>110</v>
      </c>
      <c r="H24" s="4">
        <v>1</v>
      </c>
    </row>
    <row r="25" spans="1:8" ht="12" customHeight="1" x14ac:dyDescent="0.25">
      <c r="B25" s="102" t="s">
        <v>110</v>
      </c>
      <c r="C25" s="102" t="s">
        <v>199</v>
      </c>
      <c r="D25" s="102" t="s">
        <v>288</v>
      </c>
      <c r="E25" s="102" t="s">
        <v>688</v>
      </c>
      <c r="F25" s="129">
        <v>48</v>
      </c>
      <c r="G25" s="129">
        <v>289</v>
      </c>
      <c r="H25" s="4">
        <v>1</v>
      </c>
    </row>
    <row r="26" spans="1:8" ht="12" customHeight="1" x14ac:dyDescent="0.25">
      <c r="B26" s="102" t="s">
        <v>636</v>
      </c>
      <c r="C26" s="102" t="s">
        <v>640</v>
      </c>
      <c r="D26" s="102" t="s">
        <v>288</v>
      </c>
      <c r="E26" s="102" t="s">
        <v>688</v>
      </c>
      <c r="F26" s="129">
        <v>59</v>
      </c>
      <c r="G26" s="129">
        <v>338</v>
      </c>
      <c r="H26" s="4">
        <v>1</v>
      </c>
    </row>
    <row r="27" spans="1:8" ht="12" customHeight="1" x14ac:dyDescent="0.25">
      <c r="B27" s="102" t="s">
        <v>920</v>
      </c>
      <c r="C27" s="102" t="s">
        <v>194</v>
      </c>
      <c r="D27" s="102" t="s">
        <v>288</v>
      </c>
      <c r="E27" s="102" t="s">
        <v>688</v>
      </c>
      <c r="F27" s="129">
        <v>20</v>
      </c>
      <c r="G27" s="129">
        <v>102</v>
      </c>
      <c r="H27" s="4">
        <v>1</v>
      </c>
    </row>
    <row r="28" spans="1:8" ht="12" customHeight="1" x14ac:dyDescent="0.25">
      <c r="B28" s="102" t="s">
        <v>104</v>
      </c>
      <c r="C28" s="102" t="s">
        <v>193</v>
      </c>
      <c r="D28" s="102" t="s">
        <v>288</v>
      </c>
      <c r="E28" s="102" t="s">
        <v>688</v>
      </c>
      <c r="F28" s="129">
        <v>6</v>
      </c>
      <c r="G28" s="129">
        <v>37</v>
      </c>
      <c r="H28" s="4">
        <v>1</v>
      </c>
    </row>
    <row r="29" spans="1:8" ht="12" customHeight="1" x14ac:dyDescent="0.25">
      <c r="B29" s="102" t="s">
        <v>921</v>
      </c>
      <c r="C29" s="102" t="s">
        <v>286</v>
      </c>
      <c r="D29" s="102" t="s">
        <v>288</v>
      </c>
      <c r="E29" s="102" t="s">
        <v>688</v>
      </c>
      <c r="F29" s="129">
        <v>8</v>
      </c>
      <c r="G29" s="129">
        <v>59</v>
      </c>
      <c r="H29" s="4">
        <v>1</v>
      </c>
    </row>
    <row r="30" spans="1:8" ht="12" customHeight="1" x14ac:dyDescent="0.25">
      <c r="B30" s="102" t="s">
        <v>108</v>
      </c>
      <c r="C30" s="102" t="s">
        <v>197</v>
      </c>
      <c r="D30" s="102" t="s">
        <v>288</v>
      </c>
      <c r="E30" s="102" t="s">
        <v>688</v>
      </c>
      <c r="F30" s="129">
        <v>5</v>
      </c>
      <c r="G30" s="129">
        <v>35</v>
      </c>
      <c r="H30" s="4">
        <v>1</v>
      </c>
    </row>
    <row r="31" spans="1:8" ht="12" customHeight="1" x14ac:dyDescent="0.25">
      <c r="B31" s="102" t="s">
        <v>922</v>
      </c>
      <c r="C31" s="102" t="s">
        <v>287</v>
      </c>
      <c r="D31" s="102" t="s">
        <v>288</v>
      </c>
      <c r="E31" s="102" t="s">
        <v>688</v>
      </c>
      <c r="F31" s="129">
        <v>52</v>
      </c>
      <c r="G31" s="129">
        <v>392</v>
      </c>
      <c r="H31" s="4">
        <v>1</v>
      </c>
    </row>
    <row r="32" spans="1:8" ht="12" customHeight="1" x14ac:dyDescent="0.25">
      <c r="B32" s="102" t="s">
        <v>107</v>
      </c>
      <c r="C32" s="102" t="s">
        <v>196</v>
      </c>
      <c r="D32" s="102" t="s">
        <v>288</v>
      </c>
      <c r="E32" s="102" t="s">
        <v>688</v>
      </c>
      <c r="F32" s="129">
        <v>5</v>
      </c>
      <c r="G32" s="129">
        <v>38</v>
      </c>
      <c r="H32" s="4">
        <v>1</v>
      </c>
    </row>
    <row r="33" spans="1:8" ht="12" customHeight="1" x14ac:dyDescent="0.25">
      <c r="A33" s="102" t="s">
        <v>667</v>
      </c>
      <c r="B33" s="102"/>
      <c r="C33" s="102"/>
      <c r="D33" s="102"/>
      <c r="E33" s="102"/>
      <c r="F33" s="129">
        <v>219</v>
      </c>
      <c r="G33" s="129">
        <v>1400</v>
      </c>
      <c r="H33" s="4">
        <v>9</v>
      </c>
    </row>
    <row r="34" spans="1:8" ht="12" customHeight="1" x14ac:dyDescent="0.25">
      <c r="A34" s="102" t="s">
        <v>11</v>
      </c>
      <c r="B34" s="102" t="s">
        <v>30</v>
      </c>
      <c r="C34" s="102" t="s">
        <v>117</v>
      </c>
      <c r="D34" s="102" t="s">
        <v>288</v>
      </c>
      <c r="E34" s="102" t="s">
        <v>688</v>
      </c>
      <c r="F34" s="129">
        <v>86</v>
      </c>
      <c r="G34" s="129">
        <v>444</v>
      </c>
      <c r="H34" s="4">
        <v>1</v>
      </c>
    </row>
    <row r="35" spans="1:8" ht="12" customHeight="1" x14ac:dyDescent="0.25">
      <c r="B35" s="102" t="s">
        <v>25</v>
      </c>
      <c r="C35" s="102" t="s">
        <v>112</v>
      </c>
      <c r="D35" s="102" t="s">
        <v>288</v>
      </c>
      <c r="E35" s="102" t="s">
        <v>688</v>
      </c>
      <c r="F35" s="129">
        <v>19</v>
      </c>
      <c r="G35" s="129">
        <v>142</v>
      </c>
      <c r="H35" s="4">
        <v>1</v>
      </c>
    </row>
    <row r="36" spans="1:8" ht="12" customHeight="1" x14ac:dyDescent="0.25">
      <c r="B36" s="102" t="s">
        <v>32</v>
      </c>
      <c r="C36" s="102" t="s">
        <v>119</v>
      </c>
      <c r="D36" s="102" t="s">
        <v>288</v>
      </c>
      <c r="E36" s="102" t="s">
        <v>688</v>
      </c>
      <c r="F36" s="129">
        <v>225</v>
      </c>
      <c r="G36" s="129">
        <v>1377</v>
      </c>
      <c r="H36" s="4">
        <v>1</v>
      </c>
    </row>
    <row r="37" spans="1:8" ht="12" customHeight="1" x14ac:dyDescent="0.25">
      <c r="B37" s="102" t="s">
        <v>27</v>
      </c>
      <c r="C37" s="102" t="s">
        <v>114</v>
      </c>
      <c r="D37" s="102" t="s">
        <v>288</v>
      </c>
      <c r="E37" s="102" t="s">
        <v>688</v>
      </c>
      <c r="F37" s="129">
        <v>86</v>
      </c>
      <c r="G37" s="129">
        <v>476</v>
      </c>
      <c r="H37" s="4">
        <v>1</v>
      </c>
    </row>
    <row r="38" spans="1:8" ht="12" customHeight="1" x14ac:dyDescent="0.25">
      <c r="B38" s="102" t="s">
        <v>574</v>
      </c>
      <c r="C38" s="102" t="s">
        <v>575</v>
      </c>
      <c r="D38" s="102" t="s">
        <v>288</v>
      </c>
      <c r="E38" s="102" t="s">
        <v>688</v>
      </c>
      <c r="F38" s="129">
        <v>17</v>
      </c>
      <c r="G38" s="129">
        <v>72</v>
      </c>
      <c r="H38" s="4">
        <v>1</v>
      </c>
    </row>
    <row r="39" spans="1:8" ht="12" customHeight="1" x14ac:dyDescent="0.25">
      <c r="B39" s="102" t="s">
        <v>26</v>
      </c>
      <c r="C39" s="102" t="s">
        <v>113</v>
      </c>
      <c r="D39" s="102" t="s">
        <v>288</v>
      </c>
      <c r="E39" s="102" t="s">
        <v>688</v>
      </c>
      <c r="F39" s="129">
        <v>203</v>
      </c>
      <c r="G39" s="129">
        <v>1420</v>
      </c>
      <c r="H39" s="4">
        <v>1</v>
      </c>
    </row>
    <row r="40" spans="1:8" ht="12" customHeight="1" x14ac:dyDescent="0.25">
      <c r="B40" s="102" t="s">
        <v>29</v>
      </c>
      <c r="C40" s="102" t="s">
        <v>116</v>
      </c>
      <c r="D40" s="102" t="s">
        <v>288</v>
      </c>
      <c r="E40" s="102" t="s">
        <v>688</v>
      </c>
      <c r="F40" s="129">
        <v>275</v>
      </c>
      <c r="G40" s="129">
        <v>1707</v>
      </c>
      <c r="H40" s="4">
        <v>1</v>
      </c>
    </row>
    <row r="41" spans="1:8" ht="12" customHeight="1" x14ac:dyDescent="0.25">
      <c r="A41" s="102" t="s">
        <v>832</v>
      </c>
      <c r="B41" s="102"/>
      <c r="C41" s="102"/>
      <c r="D41" s="102"/>
      <c r="E41" s="102"/>
      <c r="F41" s="129">
        <v>911</v>
      </c>
      <c r="G41" s="129">
        <v>5638</v>
      </c>
      <c r="H41" s="4">
        <v>7</v>
      </c>
    </row>
    <row r="42" spans="1:8" ht="12" customHeight="1" x14ac:dyDescent="0.25">
      <c r="A42" s="102" t="s">
        <v>12</v>
      </c>
      <c r="B42" s="102" t="s">
        <v>33</v>
      </c>
      <c r="C42" s="102" t="s">
        <v>120</v>
      </c>
      <c r="D42" s="102" t="s">
        <v>288</v>
      </c>
      <c r="E42" s="102" t="s">
        <v>688</v>
      </c>
      <c r="F42" s="129">
        <v>204</v>
      </c>
      <c r="G42" s="129">
        <v>1265</v>
      </c>
      <c r="H42" s="4">
        <v>1</v>
      </c>
    </row>
    <row r="43" spans="1:8" ht="12" customHeight="1" x14ac:dyDescent="0.25">
      <c r="B43" s="102" t="s">
        <v>36</v>
      </c>
      <c r="C43" s="102" t="s">
        <v>123</v>
      </c>
      <c r="D43" s="102" t="s">
        <v>288</v>
      </c>
      <c r="E43" s="102" t="s">
        <v>688</v>
      </c>
      <c r="F43" s="129">
        <v>10</v>
      </c>
      <c r="G43" s="129">
        <v>64</v>
      </c>
      <c r="H43" s="4">
        <v>1</v>
      </c>
    </row>
    <row r="44" spans="1:8" ht="12" customHeight="1" x14ac:dyDescent="0.25">
      <c r="B44" s="102" t="s">
        <v>646</v>
      </c>
      <c r="C44" s="102" t="s">
        <v>647</v>
      </c>
      <c r="D44" s="102" t="s">
        <v>288</v>
      </c>
      <c r="E44" s="102" t="s">
        <v>688</v>
      </c>
      <c r="F44" s="129">
        <v>31</v>
      </c>
      <c r="G44" s="129">
        <v>131</v>
      </c>
      <c r="H44" s="4">
        <v>1</v>
      </c>
    </row>
    <row r="45" spans="1:8" ht="12" customHeight="1" x14ac:dyDescent="0.25">
      <c r="B45" s="102" t="s">
        <v>34</v>
      </c>
      <c r="C45" s="102" t="s">
        <v>121</v>
      </c>
      <c r="D45" s="102" t="s">
        <v>288</v>
      </c>
      <c r="E45" s="102" t="s">
        <v>688</v>
      </c>
      <c r="F45" s="129">
        <v>365</v>
      </c>
      <c r="G45" s="129">
        <v>2366</v>
      </c>
      <c r="H45" s="4">
        <v>1</v>
      </c>
    </row>
    <row r="46" spans="1:8" ht="12" customHeight="1" x14ac:dyDescent="0.25">
      <c r="A46" s="102" t="s">
        <v>830</v>
      </c>
      <c r="B46" s="102"/>
      <c r="C46" s="102"/>
      <c r="D46" s="102"/>
      <c r="E46" s="102"/>
      <c r="F46" s="129">
        <v>610</v>
      </c>
      <c r="G46" s="129">
        <v>3826</v>
      </c>
      <c r="H46" s="4">
        <v>4</v>
      </c>
    </row>
    <row r="47" spans="1:8" ht="12" customHeight="1" x14ac:dyDescent="0.25">
      <c r="A47" s="102" t="s">
        <v>14</v>
      </c>
      <c r="B47" s="102" t="s">
        <v>40</v>
      </c>
      <c r="C47" s="102" t="s">
        <v>127</v>
      </c>
      <c r="D47" s="102" t="s">
        <v>643</v>
      </c>
      <c r="E47" s="102" t="s">
        <v>687</v>
      </c>
      <c r="F47" s="129">
        <v>1154</v>
      </c>
      <c r="G47" s="129">
        <v>4218</v>
      </c>
      <c r="H47" s="4">
        <v>1</v>
      </c>
    </row>
    <row r="48" spans="1:8" ht="12" customHeight="1" x14ac:dyDescent="0.25">
      <c r="B48" s="102" t="s">
        <v>39</v>
      </c>
      <c r="C48" s="102" t="s">
        <v>126</v>
      </c>
      <c r="D48" s="102" t="s">
        <v>643</v>
      </c>
      <c r="E48" s="102" t="s">
        <v>687</v>
      </c>
      <c r="F48" s="129">
        <v>21</v>
      </c>
      <c r="G48" s="129">
        <v>122</v>
      </c>
      <c r="H48" s="4">
        <v>1</v>
      </c>
    </row>
    <row r="49" spans="1:8" ht="12" customHeight="1" x14ac:dyDescent="0.25">
      <c r="B49" s="102" t="s">
        <v>42</v>
      </c>
      <c r="C49" s="102" t="s">
        <v>129</v>
      </c>
      <c r="D49" s="102" t="s">
        <v>288</v>
      </c>
      <c r="E49" s="102" t="s">
        <v>688</v>
      </c>
      <c r="F49" s="129">
        <v>1152</v>
      </c>
      <c r="G49" s="129">
        <v>5060</v>
      </c>
      <c r="H49" s="4">
        <v>1</v>
      </c>
    </row>
    <row r="50" spans="1:8" ht="12" customHeight="1" x14ac:dyDescent="0.25">
      <c r="B50" s="102" t="s">
        <v>41</v>
      </c>
      <c r="C50" s="102" t="s">
        <v>128</v>
      </c>
      <c r="D50" s="102" t="s">
        <v>643</v>
      </c>
      <c r="E50" s="102" t="s">
        <v>687</v>
      </c>
      <c r="F50" s="129">
        <v>1563</v>
      </c>
      <c r="G50" s="129">
        <v>7477</v>
      </c>
      <c r="H50" s="4">
        <v>1</v>
      </c>
    </row>
    <row r="51" spans="1:8" x14ac:dyDescent="0.25">
      <c r="B51" s="102" t="s">
        <v>43</v>
      </c>
      <c r="C51" s="102" t="s">
        <v>130</v>
      </c>
      <c r="D51" s="102" t="s">
        <v>288</v>
      </c>
      <c r="E51" s="102" t="s">
        <v>688</v>
      </c>
      <c r="F51" s="129">
        <v>794</v>
      </c>
      <c r="G51" s="129">
        <v>2668</v>
      </c>
      <c r="H51" s="4">
        <v>1</v>
      </c>
    </row>
    <row r="52" spans="1:8" ht="12" customHeight="1" x14ac:dyDescent="0.25">
      <c r="A52" s="102" t="s">
        <v>668</v>
      </c>
      <c r="B52" s="102"/>
      <c r="C52" s="102"/>
      <c r="D52" s="102"/>
      <c r="E52" s="102"/>
      <c r="F52" s="129">
        <v>4684</v>
      </c>
      <c r="G52" s="129">
        <v>19545</v>
      </c>
      <c r="H52" s="4">
        <v>5</v>
      </c>
    </row>
    <row r="53" spans="1:8" ht="12" customHeight="1" x14ac:dyDescent="0.25">
      <c r="A53" s="102" t="s">
        <v>18</v>
      </c>
      <c r="B53" s="102" t="s">
        <v>60</v>
      </c>
      <c r="C53" s="102" t="s">
        <v>149</v>
      </c>
      <c r="D53" s="102" t="s">
        <v>288</v>
      </c>
      <c r="E53" s="102" t="s">
        <v>688</v>
      </c>
      <c r="F53" s="129">
        <v>18</v>
      </c>
      <c r="G53" s="129">
        <v>77</v>
      </c>
      <c r="H53" s="4">
        <v>1</v>
      </c>
    </row>
    <row r="54" spans="1:8" ht="12" customHeight="1" x14ac:dyDescent="0.25">
      <c r="B54" s="102" t="s">
        <v>59</v>
      </c>
      <c r="C54" s="102" t="s">
        <v>148</v>
      </c>
      <c r="D54" s="102" t="s">
        <v>288</v>
      </c>
      <c r="E54" s="102" t="s">
        <v>688</v>
      </c>
      <c r="F54" s="129">
        <v>60</v>
      </c>
      <c r="G54" s="129">
        <v>187</v>
      </c>
      <c r="H54" s="4">
        <v>1</v>
      </c>
    </row>
    <row r="55" spans="1:8" ht="12" customHeight="1" x14ac:dyDescent="0.25">
      <c r="A55" s="102" t="s">
        <v>669</v>
      </c>
      <c r="B55" s="102"/>
      <c r="C55" s="102"/>
      <c r="D55" s="102"/>
      <c r="E55" s="102"/>
      <c r="F55" s="129">
        <v>78</v>
      </c>
      <c r="G55" s="129">
        <v>264</v>
      </c>
      <c r="H55" s="4">
        <v>2</v>
      </c>
    </row>
    <row r="56" spans="1:8" ht="12" customHeight="1" x14ac:dyDescent="0.25">
      <c r="A56" s="102" t="s">
        <v>16</v>
      </c>
      <c r="B56" s="102" t="s">
        <v>57</v>
      </c>
      <c r="C56" s="102" t="s">
        <v>145</v>
      </c>
      <c r="D56" s="102" t="s">
        <v>288</v>
      </c>
      <c r="E56" s="102" t="s">
        <v>688</v>
      </c>
      <c r="F56" s="129">
        <v>251</v>
      </c>
      <c r="G56" s="129">
        <v>1308</v>
      </c>
      <c r="H56" s="4">
        <v>1</v>
      </c>
    </row>
    <row r="57" spans="1:8" ht="12" customHeight="1" x14ac:dyDescent="0.25">
      <c r="B57" s="102" t="s">
        <v>56</v>
      </c>
      <c r="C57" s="102" t="s">
        <v>143</v>
      </c>
      <c r="D57" s="102" t="s">
        <v>288</v>
      </c>
      <c r="E57" s="102" t="s">
        <v>688</v>
      </c>
      <c r="F57" s="129">
        <v>32</v>
      </c>
      <c r="G57" s="129">
        <v>157</v>
      </c>
      <c r="H57" s="4">
        <v>1</v>
      </c>
    </row>
    <row r="58" spans="1:8" ht="12" customHeight="1" x14ac:dyDescent="0.25">
      <c r="B58" s="102" t="s">
        <v>624</v>
      </c>
      <c r="C58" s="102" t="s">
        <v>144</v>
      </c>
      <c r="D58" s="102" t="s">
        <v>288</v>
      </c>
      <c r="E58" s="102" t="s">
        <v>688</v>
      </c>
      <c r="F58" s="129">
        <v>217</v>
      </c>
      <c r="G58" s="129">
        <v>1297</v>
      </c>
      <c r="H58" s="4">
        <v>1</v>
      </c>
    </row>
    <row r="59" spans="1:8" ht="12" customHeight="1" x14ac:dyDescent="0.25">
      <c r="B59" s="102" t="s">
        <v>410</v>
      </c>
      <c r="C59" s="102" t="s">
        <v>625</v>
      </c>
      <c r="D59" s="102" t="s">
        <v>288</v>
      </c>
      <c r="E59" s="102" t="s">
        <v>688</v>
      </c>
      <c r="F59" s="129">
        <v>193</v>
      </c>
      <c r="G59" s="129">
        <v>961</v>
      </c>
      <c r="H59" s="4">
        <v>1</v>
      </c>
    </row>
    <row r="60" spans="1:8" ht="12" customHeight="1" x14ac:dyDescent="0.25">
      <c r="B60" s="102" t="s">
        <v>55</v>
      </c>
      <c r="C60" s="102" t="s">
        <v>142</v>
      </c>
      <c r="D60" s="102" t="s">
        <v>288</v>
      </c>
      <c r="E60" s="102" t="s">
        <v>688</v>
      </c>
      <c r="F60" s="129">
        <v>54</v>
      </c>
      <c r="G60" s="129">
        <v>332</v>
      </c>
      <c r="H60" s="4">
        <v>1</v>
      </c>
    </row>
    <row r="61" spans="1:8" ht="12" customHeight="1" x14ac:dyDescent="0.25">
      <c r="A61" s="102" t="s">
        <v>670</v>
      </c>
      <c r="B61" s="102"/>
      <c r="C61" s="102"/>
      <c r="D61" s="102"/>
      <c r="E61" s="102"/>
      <c r="F61" s="129">
        <v>747</v>
      </c>
      <c r="G61" s="129">
        <v>4055</v>
      </c>
      <c r="H61" s="4">
        <v>5</v>
      </c>
    </row>
    <row r="62" spans="1:8" ht="12" customHeight="1" x14ac:dyDescent="0.25">
      <c r="A62" s="102" t="s">
        <v>19</v>
      </c>
      <c r="B62" s="102" t="s">
        <v>61</v>
      </c>
      <c r="C62" s="102" t="s">
        <v>150</v>
      </c>
      <c r="D62" s="102" t="s">
        <v>643</v>
      </c>
      <c r="E62" s="102" t="s">
        <v>687</v>
      </c>
      <c r="F62" s="129">
        <v>397</v>
      </c>
      <c r="G62" s="129">
        <v>2049</v>
      </c>
      <c r="H62" s="4">
        <v>1</v>
      </c>
    </row>
    <row r="63" spans="1:8" ht="12" customHeight="1" x14ac:dyDescent="0.25">
      <c r="B63" s="102" t="s">
        <v>569</v>
      </c>
      <c r="C63" s="102" t="s">
        <v>570</v>
      </c>
      <c r="D63" s="102" t="s">
        <v>288</v>
      </c>
      <c r="E63" s="102" t="s">
        <v>688</v>
      </c>
      <c r="F63" s="129">
        <v>41</v>
      </c>
      <c r="G63" s="129">
        <v>226</v>
      </c>
      <c r="H63" s="4">
        <v>1</v>
      </c>
    </row>
    <row r="64" spans="1:8" ht="12" customHeight="1" x14ac:dyDescent="0.25">
      <c r="B64" s="102" t="s">
        <v>650</v>
      </c>
      <c r="C64" s="102" t="s">
        <v>652</v>
      </c>
      <c r="D64" s="102" t="s">
        <v>291</v>
      </c>
      <c r="E64" s="102" t="s">
        <v>687</v>
      </c>
      <c r="F64" s="129">
        <v>997</v>
      </c>
      <c r="G64" s="129">
        <v>4851</v>
      </c>
      <c r="H64" s="4">
        <v>1</v>
      </c>
    </row>
    <row r="65" spans="2:8" ht="12" customHeight="1" x14ac:dyDescent="0.25">
      <c r="B65" s="102" t="s">
        <v>651</v>
      </c>
      <c r="C65" s="102" t="s">
        <v>653</v>
      </c>
      <c r="D65" s="102" t="s">
        <v>291</v>
      </c>
      <c r="E65" s="102" t="s">
        <v>687</v>
      </c>
      <c r="F65" s="129">
        <v>1297</v>
      </c>
      <c r="G65" s="129">
        <v>6917</v>
      </c>
      <c r="H65" s="4">
        <v>1</v>
      </c>
    </row>
    <row r="66" spans="2:8" ht="12" customHeight="1" x14ac:dyDescent="0.25">
      <c r="B66" s="102" t="s">
        <v>63</v>
      </c>
      <c r="C66" s="102" t="s">
        <v>152</v>
      </c>
      <c r="D66" s="102" t="s">
        <v>291</v>
      </c>
      <c r="E66" s="102" t="s">
        <v>687</v>
      </c>
      <c r="F66" s="129">
        <v>1397</v>
      </c>
      <c r="G66" s="129">
        <v>8189</v>
      </c>
      <c r="H66" s="4">
        <v>1</v>
      </c>
    </row>
    <row r="67" spans="2:8" ht="12" customHeight="1" x14ac:dyDescent="0.25">
      <c r="B67" s="102" t="s">
        <v>558</v>
      </c>
      <c r="C67" s="102" t="s">
        <v>559</v>
      </c>
      <c r="D67" s="102" t="s">
        <v>288</v>
      </c>
      <c r="E67" s="102" t="s">
        <v>688</v>
      </c>
      <c r="F67" s="129">
        <v>518</v>
      </c>
      <c r="G67" s="129">
        <v>2951</v>
      </c>
      <c r="H67" s="4">
        <v>1</v>
      </c>
    </row>
    <row r="68" spans="2:8" ht="12" customHeight="1" x14ac:dyDescent="0.25">
      <c r="B68" s="102" t="s">
        <v>833</v>
      </c>
      <c r="C68" s="102" t="s">
        <v>153</v>
      </c>
      <c r="D68" s="102" t="s">
        <v>643</v>
      </c>
      <c r="E68" s="102" t="s">
        <v>687</v>
      </c>
      <c r="F68" s="129">
        <v>799</v>
      </c>
      <c r="G68" s="129">
        <v>4354</v>
      </c>
      <c r="H68" s="4">
        <v>1</v>
      </c>
    </row>
    <row r="69" spans="2:8" ht="12" customHeight="1" x14ac:dyDescent="0.25">
      <c r="B69" s="102" t="s">
        <v>649</v>
      </c>
      <c r="C69" s="102" t="s">
        <v>284</v>
      </c>
      <c r="D69" s="102" t="s">
        <v>288</v>
      </c>
      <c r="E69" s="102" t="s">
        <v>688</v>
      </c>
      <c r="F69" s="129">
        <v>624</v>
      </c>
      <c r="G69" s="129">
        <v>3352</v>
      </c>
      <c r="H69" s="4">
        <v>1</v>
      </c>
    </row>
    <row r="70" spans="2:8" ht="12" customHeight="1" x14ac:dyDescent="0.25">
      <c r="B70" s="102" t="s">
        <v>654</v>
      </c>
      <c r="C70" s="102" t="s">
        <v>561</v>
      </c>
      <c r="D70" s="102" t="s">
        <v>291</v>
      </c>
      <c r="E70" s="102" t="s">
        <v>687</v>
      </c>
      <c r="F70" s="129">
        <v>649</v>
      </c>
      <c r="G70" s="129">
        <v>3389</v>
      </c>
      <c r="H70" s="4">
        <v>1</v>
      </c>
    </row>
    <row r="71" spans="2:8" ht="12" customHeight="1" x14ac:dyDescent="0.25">
      <c r="B71" s="102" t="s">
        <v>655</v>
      </c>
      <c r="C71" s="102" t="s">
        <v>657</v>
      </c>
      <c r="D71" s="102" t="s">
        <v>291</v>
      </c>
      <c r="E71" s="102" t="s">
        <v>687</v>
      </c>
      <c r="F71" s="129">
        <v>2629</v>
      </c>
      <c r="G71" s="129">
        <v>13655</v>
      </c>
      <c r="H71" s="4">
        <v>1</v>
      </c>
    </row>
    <row r="72" spans="2:8" ht="12" customHeight="1" x14ac:dyDescent="0.25">
      <c r="B72" s="102" t="s">
        <v>656</v>
      </c>
      <c r="C72" s="102" t="s">
        <v>658</v>
      </c>
      <c r="D72" s="102" t="s">
        <v>643</v>
      </c>
      <c r="E72" s="102" t="s">
        <v>687</v>
      </c>
      <c r="F72" s="129">
        <v>2243</v>
      </c>
      <c r="G72" s="129">
        <v>12225</v>
      </c>
      <c r="H72" s="4">
        <v>1</v>
      </c>
    </row>
    <row r="73" spans="2:8" ht="12" customHeight="1" x14ac:dyDescent="0.25">
      <c r="B73" s="102" t="s">
        <v>659</v>
      </c>
      <c r="C73" s="102" t="s">
        <v>661</v>
      </c>
      <c r="D73" s="102" t="s">
        <v>288</v>
      </c>
      <c r="E73" s="102" t="s">
        <v>688</v>
      </c>
      <c r="F73" s="129">
        <v>249</v>
      </c>
      <c r="G73" s="129">
        <v>1282</v>
      </c>
      <c r="H73" s="4">
        <v>1</v>
      </c>
    </row>
    <row r="74" spans="2:8" ht="12" customHeight="1" x14ac:dyDescent="0.25">
      <c r="B74" s="102" t="s">
        <v>660</v>
      </c>
      <c r="C74" s="102" t="s">
        <v>662</v>
      </c>
      <c r="D74" s="102" t="s">
        <v>288</v>
      </c>
      <c r="E74" s="102" t="s">
        <v>688</v>
      </c>
      <c r="F74" s="129">
        <v>418</v>
      </c>
      <c r="G74" s="129">
        <v>2200</v>
      </c>
      <c r="H74" s="4">
        <v>1</v>
      </c>
    </row>
    <row r="75" spans="2:8" ht="12" customHeight="1" x14ac:dyDescent="0.25">
      <c r="B75" s="102" t="s">
        <v>67</v>
      </c>
      <c r="C75" s="102" t="s">
        <v>156</v>
      </c>
      <c r="D75" s="102" t="s">
        <v>291</v>
      </c>
      <c r="E75" s="102" t="s">
        <v>687</v>
      </c>
      <c r="F75" s="129">
        <v>2436</v>
      </c>
      <c r="G75" s="129">
        <v>12178</v>
      </c>
      <c r="H75" s="4">
        <v>1</v>
      </c>
    </row>
    <row r="76" spans="2:8" ht="12" customHeight="1" x14ac:dyDescent="0.25">
      <c r="B76" s="102" t="s">
        <v>78</v>
      </c>
      <c r="C76" s="102" t="s">
        <v>167</v>
      </c>
      <c r="D76" s="102" t="s">
        <v>643</v>
      </c>
      <c r="E76" s="102" t="s">
        <v>687</v>
      </c>
      <c r="F76" s="129">
        <v>72</v>
      </c>
      <c r="G76" s="129">
        <v>462</v>
      </c>
      <c r="H76" s="4">
        <v>1</v>
      </c>
    </row>
    <row r="77" spans="2:8" ht="12" customHeight="1" x14ac:dyDescent="0.25">
      <c r="B77" s="102" t="s">
        <v>248</v>
      </c>
      <c r="C77" s="102" t="s">
        <v>285</v>
      </c>
      <c r="D77" s="102" t="s">
        <v>643</v>
      </c>
      <c r="E77" s="102" t="s">
        <v>687</v>
      </c>
      <c r="F77" s="129">
        <v>151</v>
      </c>
      <c r="G77" s="129">
        <v>640</v>
      </c>
      <c r="H77" s="4">
        <v>1</v>
      </c>
    </row>
    <row r="78" spans="2:8" ht="12" customHeight="1" x14ac:dyDescent="0.25">
      <c r="B78" s="102" t="s">
        <v>68</v>
      </c>
      <c r="C78" s="102" t="s">
        <v>157</v>
      </c>
      <c r="D78" s="102" t="s">
        <v>643</v>
      </c>
      <c r="E78" s="102" t="s">
        <v>687</v>
      </c>
      <c r="F78" s="129">
        <v>2145</v>
      </c>
      <c r="G78" s="129">
        <v>11663</v>
      </c>
      <c r="H78" s="4">
        <v>1</v>
      </c>
    </row>
    <row r="79" spans="2:8" ht="12" customHeight="1" x14ac:dyDescent="0.25">
      <c r="B79" s="102" t="s">
        <v>70</v>
      </c>
      <c r="C79" s="102" t="s">
        <v>159</v>
      </c>
      <c r="D79" s="102" t="s">
        <v>288</v>
      </c>
      <c r="E79" s="102" t="s">
        <v>688</v>
      </c>
      <c r="F79" s="129">
        <v>984</v>
      </c>
      <c r="G79" s="129">
        <v>5656</v>
      </c>
      <c r="H79" s="4">
        <v>1</v>
      </c>
    </row>
    <row r="80" spans="2:8" ht="12" customHeight="1" x14ac:dyDescent="0.25">
      <c r="B80" s="102" t="s">
        <v>556</v>
      </c>
      <c r="C80" s="102" t="s">
        <v>283</v>
      </c>
      <c r="D80" s="102" t="s">
        <v>288</v>
      </c>
      <c r="E80" s="102" t="s">
        <v>688</v>
      </c>
      <c r="F80" s="129">
        <v>496</v>
      </c>
      <c r="G80" s="129">
        <v>2942</v>
      </c>
      <c r="H80" s="4">
        <v>1</v>
      </c>
    </row>
    <row r="81" spans="1:8" ht="12" customHeight="1" x14ac:dyDescent="0.25">
      <c r="B81" s="102" t="s">
        <v>80</v>
      </c>
      <c r="C81" s="102" t="s">
        <v>169</v>
      </c>
      <c r="D81" s="102" t="s">
        <v>288</v>
      </c>
      <c r="E81" s="102" t="s">
        <v>688</v>
      </c>
      <c r="F81" s="129">
        <v>7</v>
      </c>
      <c r="G81" s="129">
        <v>27</v>
      </c>
      <c r="H81" s="4">
        <v>1</v>
      </c>
    </row>
    <row r="82" spans="1:8" ht="12" customHeight="1" x14ac:dyDescent="0.25">
      <c r="A82" s="102" t="s">
        <v>665</v>
      </c>
      <c r="B82" s="102"/>
      <c r="C82" s="102"/>
      <c r="D82" s="102"/>
      <c r="E82" s="102"/>
      <c r="F82" s="129">
        <v>18549</v>
      </c>
      <c r="G82" s="129">
        <v>99208</v>
      </c>
      <c r="H82" s="4">
        <v>20</v>
      </c>
    </row>
    <row r="83" spans="1:8" ht="12" customHeight="1" x14ac:dyDescent="0.25">
      <c r="A83" s="102" t="s">
        <v>915</v>
      </c>
      <c r="B83" s="102" t="s">
        <v>37</v>
      </c>
      <c r="C83" s="102" t="s">
        <v>124</v>
      </c>
      <c r="D83" s="102" t="s">
        <v>733</v>
      </c>
      <c r="E83" s="102" t="s">
        <v>688</v>
      </c>
      <c r="F83" s="129">
        <v>42</v>
      </c>
      <c r="G83" s="129">
        <v>198</v>
      </c>
      <c r="H83" s="4">
        <v>1</v>
      </c>
    </row>
    <row r="84" spans="1:8" ht="12" customHeight="1" x14ac:dyDescent="0.25">
      <c r="B84" s="102" t="s">
        <v>38</v>
      </c>
      <c r="C84" s="102" t="s">
        <v>125</v>
      </c>
      <c r="D84" s="102" t="s">
        <v>733</v>
      </c>
      <c r="E84" s="102" t="s">
        <v>688</v>
      </c>
      <c r="F84" s="129">
        <v>682</v>
      </c>
      <c r="G84" s="129">
        <v>2815</v>
      </c>
      <c r="H84" s="4">
        <v>1</v>
      </c>
    </row>
    <row r="85" spans="1:8" x14ac:dyDescent="0.25">
      <c r="A85" s="102" t="s">
        <v>916</v>
      </c>
      <c r="B85" s="102"/>
      <c r="C85" s="102"/>
      <c r="D85" s="102"/>
      <c r="E85" s="102"/>
      <c r="F85" s="129">
        <v>724</v>
      </c>
      <c r="G85" s="129">
        <v>3013</v>
      </c>
      <c r="H85" s="4">
        <v>2</v>
      </c>
    </row>
    <row r="86" spans="1:8" ht="12" customHeight="1" x14ac:dyDescent="0.25">
      <c r="A86" s="102" t="s">
        <v>215</v>
      </c>
      <c r="F86" s="129">
        <v>28015</v>
      </c>
      <c r="G86" s="129">
        <v>145062</v>
      </c>
      <c r="H86" s="4">
        <v>67</v>
      </c>
    </row>
    <row r="87" spans="1:8" ht="12" customHeight="1" x14ac:dyDescent="0.25"/>
    <row r="88" spans="1:8" ht="12" customHeight="1" x14ac:dyDescent="0.25"/>
    <row r="89" spans="1:8" ht="12" customHeight="1" x14ac:dyDescent="0.25"/>
  </sheetData>
  <mergeCells count="2">
    <mergeCell ref="A2:C2"/>
    <mergeCell ref="A3:C3"/>
  </mergeCells>
  <pageMargins left="0.15748031496062992" right="0.15748031496062992" top="0.15748031496062992" bottom="0.15748031496062992" header="0" footer="0"/>
  <pageSetup paperSize="9" scale="76"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80" zoomScaleNormal="80" workbookViewId="0">
      <selection activeCell="C41" sqref="C41"/>
    </sheetView>
  </sheetViews>
  <sheetFormatPr defaultColWidth="9.140625" defaultRowHeight="15" x14ac:dyDescent="0.25"/>
  <cols>
    <col min="1" max="1" width="2" style="1" customWidth="1"/>
    <col min="2" max="2" width="17.5703125" style="1" customWidth="1"/>
    <col min="3" max="3" width="21.140625" style="1" customWidth="1"/>
    <col min="4" max="4" width="33.85546875" style="1" customWidth="1"/>
    <col min="5" max="5" width="45.7109375" style="342" customWidth="1"/>
    <col min="6" max="6" width="24.5703125" style="329" customWidth="1"/>
    <col min="7" max="7" width="19.7109375" style="329" customWidth="1"/>
    <col min="8" max="8" width="11.140625" style="345" customWidth="1"/>
    <col min="9" max="9" width="11.28515625" style="353" bestFit="1" customWidth="1"/>
    <col min="10" max="10" width="8.42578125" style="1" customWidth="1"/>
    <col min="11" max="16384" width="9.140625" style="1"/>
  </cols>
  <sheetData>
    <row r="1" spans="1:10" ht="9.75" customHeight="1" thickBot="1" x14ac:dyDescent="0.3">
      <c r="F1" s="509"/>
      <c r="G1" s="509"/>
    </row>
    <row r="2" spans="1:10" ht="23.25" x14ac:dyDescent="0.35">
      <c r="B2" s="532" t="s">
        <v>804</v>
      </c>
      <c r="C2" s="533"/>
      <c r="D2" s="533"/>
      <c r="E2" s="533"/>
      <c r="F2" s="533"/>
      <c r="G2" s="533"/>
      <c r="H2" s="533"/>
      <c r="I2" s="533"/>
      <c r="J2" s="534"/>
    </row>
    <row r="3" spans="1:10" x14ac:dyDescent="0.25">
      <c r="B3" s="535">
        <f>Report_Date</f>
        <v>42339</v>
      </c>
      <c r="C3" s="536"/>
      <c r="D3" s="536"/>
      <c r="E3" s="536"/>
      <c r="F3" s="536"/>
      <c r="G3" s="536"/>
      <c r="H3" s="536"/>
      <c r="I3" s="536"/>
      <c r="J3" s="537"/>
    </row>
    <row r="4" spans="1:10" ht="15.75" thickBot="1" x14ac:dyDescent="0.3">
      <c r="B4" s="538"/>
      <c r="C4" s="539"/>
      <c r="D4" s="539"/>
      <c r="E4" s="539"/>
      <c r="F4" s="539"/>
      <c r="G4" s="539"/>
      <c r="H4" s="539"/>
      <c r="I4" s="539"/>
      <c r="J4" s="540"/>
    </row>
    <row r="5" spans="1:10" ht="15.75" thickBot="1" x14ac:dyDescent="0.3">
      <c r="B5" s="328" t="s">
        <v>355</v>
      </c>
      <c r="C5" s="1" t="s">
        <v>358</v>
      </c>
      <c r="D5" s="536"/>
      <c r="E5" s="536"/>
      <c r="F5" s="536"/>
      <c r="G5" s="536"/>
      <c r="H5" s="536"/>
      <c r="I5" s="536"/>
      <c r="J5" s="537"/>
    </row>
    <row r="6" spans="1:10" x14ac:dyDescent="0.25">
      <c r="B6" s="328" t="s">
        <v>24</v>
      </c>
      <c r="C6" s="1" t="s">
        <v>799</v>
      </c>
      <c r="D6" s="539"/>
      <c r="E6" s="539"/>
      <c r="F6" s="539"/>
      <c r="G6" s="539"/>
      <c r="H6" s="539"/>
      <c r="I6" s="539"/>
      <c r="J6" s="540"/>
    </row>
    <row r="7" spans="1:10" x14ac:dyDescent="0.25">
      <c r="B7" s="680"/>
      <c r="C7" s="536"/>
      <c r="D7" s="536"/>
      <c r="E7" s="536"/>
      <c r="F7" s="536"/>
      <c r="G7" s="536"/>
      <c r="H7" s="536"/>
      <c r="I7" s="536"/>
      <c r="J7" s="537"/>
    </row>
    <row r="8" spans="1:10" x14ac:dyDescent="0.25">
      <c r="B8" s="672" t="s">
        <v>0</v>
      </c>
      <c r="C8" s="672" t="s">
        <v>689</v>
      </c>
      <c r="D8" s="672" t="s">
        <v>690</v>
      </c>
      <c r="E8" s="687" t="s">
        <v>837</v>
      </c>
      <c r="F8" s="688" t="s">
        <v>9</v>
      </c>
      <c r="G8" s="681" t="s">
        <v>8</v>
      </c>
      <c r="H8" s="689" t="s">
        <v>844</v>
      </c>
      <c r="I8" s="682" t="s">
        <v>924</v>
      </c>
      <c r="J8" s="683" t="s">
        <v>836</v>
      </c>
    </row>
    <row r="9" spans="1:10" x14ac:dyDescent="0.25">
      <c r="B9" s="777" t="s">
        <v>14</v>
      </c>
      <c r="C9" s="775" t="s">
        <v>288</v>
      </c>
      <c r="D9" s="785" t="s">
        <v>688</v>
      </c>
      <c r="E9" s="785" t="s">
        <v>923</v>
      </c>
      <c r="F9" s="756" t="s">
        <v>42</v>
      </c>
      <c r="G9" s="756" t="s">
        <v>129</v>
      </c>
      <c r="H9" s="346">
        <v>5060</v>
      </c>
      <c r="I9" s="370">
        <v>1152</v>
      </c>
      <c r="J9" s="66">
        <v>1</v>
      </c>
    </row>
    <row r="10" spans="1:10" x14ac:dyDescent="0.25">
      <c r="B10" s="783"/>
      <c r="C10" s="776"/>
      <c r="D10" s="786"/>
      <c r="E10" s="788"/>
      <c r="F10" s="756" t="s">
        <v>43</v>
      </c>
      <c r="G10" s="756" t="s">
        <v>130</v>
      </c>
      <c r="H10" s="346">
        <v>2668</v>
      </c>
      <c r="I10" s="370">
        <v>794</v>
      </c>
      <c r="J10" s="66">
        <v>1</v>
      </c>
    </row>
    <row r="11" spans="1:10" s="329" customFormat="1" x14ac:dyDescent="0.25">
      <c r="A11" s="509"/>
      <c r="B11" s="783"/>
      <c r="C11" s="777" t="s">
        <v>643</v>
      </c>
      <c r="D11" s="777" t="s">
        <v>687</v>
      </c>
      <c r="E11" s="777" t="s">
        <v>913</v>
      </c>
      <c r="F11" s="753" t="s">
        <v>40</v>
      </c>
      <c r="G11" s="754" t="s">
        <v>127</v>
      </c>
      <c r="H11" s="685">
        <v>4218</v>
      </c>
      <c r="I11" s="678">
        <v>1154</v>
      </c>
      <c r="J11" s="679">
        <v>1</v>
      </c>
    </row>
    <row r="12" spans="1:10" x14ac:dyDescent="0.25">
      <c r="B12" s="783"/>
      <c r="C12" s="778"/>
      <c r="D12" s="778"/>
      <c r="E12" s="783"/>
      <c r="F12" s="755" t="s">
        <v>39</v>
      </c>
      <c r="G12" s="754" t="s">
        <v>126</v>
      </c>
      <c r="H12" s="686">
        <v>122</v>
      </c>
      <c r="I12" s="370">
        <v>21</v>
      </c>
      <c r="J12" s="525">
        <v>1</v>
      </c>
    </row>
    <row r="13" spans="1:10" x14ac:dyDescent="0.25">
      <c r="B13" s="784"/>
      <c r="C13" s="779"/>
      <c r="D13" s="779"/>
      <c r="E13" s="784"/>
      <c r="F13" s="752" t="s">
        <v>41</v>
      </c>
      <c r="G13" s="754" t="s">
        <v>128</v>
      </c>
      <c r="H13" s="674">
        <v>7477</v>
      </c>
      <c r="I13" s="673">
        <v>1563</v>
      </c>
      <c r="J13" s="510">
        <v>1</v>
      </c>
    </row>
    <row r="14" spans="1:10" x14ac:dyDescent="0.25">
      <c r="B14" s="770" t="s">
        <v>668</v>
      </c>
      <c r="C14" s="789"/>
      <c r="D14" s="789"/>
      <c r="E14" s="789"/>
      <c r="F14" s="789"/>
      <c r="G14" s="790"/>
      <c r="H14" s="628">
        <v>19545</v>
      </c>
      <c r="I14" s="629">
        <v>4684</v>
      </c>
      <c r="J14" s="630">
        <v>5</v>
      </c>
    </row>
    <row r="15" spans="1:10" x14ac:dyDescent="0.25">
      <c r="B15" s="777" t="s">
        <v>19</v>
      </c>
      <c r="C15" s="780" t="s">
        <v>288</v>
      </c>
      <c r="D15" s="777" t="s">
        <v>688</v>
      </c>
      <c r="E15" s="777" t="s">
        <v>923</v>
      </c>
      <c r="F15" s="756" t="s">
        <v>649</v>
      </c>
      <c r="G15" s="745" t="s">
        <v>284</v>
      </c>
      <c r="H15" s="685">
        <v>3352</v>
      </c>
      <c r="I15" s="678">
        <v>624</v>
      </c>
      <c r="J15" s="679">
        <v>1</v>
      </c>
    </row>
    <row r="16" spans="1:10" x14ac:dyDescent="0.25">
      <c r="B16" s="783"/>
      <c r="C16" s="781"/>
      <c r="D16" s="778"/>
      <c r="E16" s="783"/>
      <c r="F16" s="756" t="s">
        <v>659</v>
      </c>
      <c r="G16" s="745" t="s">
        <v>661</v>
      </c>
      <c r="H16" s="686">
        <v>1282</v>
      </c>
      <c r="I16" s="370">
        <v>249</v>
      </c>
      <c r="J16" s="525">
        <v>1</v>
      </c>
    </row>
    <row r="17" spans="2:12" x14ac:dyDescent="0.25">
      <c r="B17" s="783"/>
      <c r="C17" s="781"/>
      <c r="D17" s="778"/>
      <c r="E17" s="783"/>
      <c r="F17" s="754" t="s">
        <v>660</v>
      </c>
      <c r="G17" s="754" t="s">
        <v>662</v>
      </c>
      <c r="H17" s="686">
        <v>2200</v>
      </c>
      <c r="I17" s="370">
        <v>418</v>
      </c>
      <c r="J17" s="525">
        <v>1</v>
      </c>
      <c r="L17" s="1" t="s">
        <v>805</v>
      </c>
    </row>
    <row r="18" spans="2:12" x14ac:dyDescent="0.25">
      <c r="B18" s="783"/>
      <c r="C18" s="781"/>
      <c r="D18" s="779"/>
      <c r="E18" s="784"/>
      <c r="F18" s="756" t="s">
        <v>70</v>
      </c>
      <c r="G18" s="745" t="s">
        <v>159</v>
      </c>
      <c r="H18" s="686">
        <v>5656</v>
      </c>
      <c r="I18" s="370">
        <v>984</v>
      </c>
      <c r="J18" s="525">
        <v>1</v>
      </c>
    </row>
    <row r="19" spans="2:12" x14ac:dyDescent="0.25">
      <c r="B19" s="783"/>
      <c r="C19" s="782" t="s">
        <v>291</v>
      </c>
      <c r="D19" s="777" t="s">
        <v>687</v>
      </c>
      <c r="E19" s="777" t="s">
        <v>912</v>
      </c>
      <c r="F19" s="753" t="s">
        <v>650</v>
      </c>
      <c r="G19" s="754" t="s">
        <v>652</v>
      </c>
      <c r="H19" s="686">
        <v>4851</v>
      </c>
      <c r="I19" s="370">
        <v>997</v>
      </c>
      <c r="J19" s="525">
        <v>1</v>
      </c>
    </row>
    <row r="20" spans="2:12" x14ac:dyDescent="0.25">
      <c r="B20" s="783"/>
      <c r="C20" s="783"/>
      <c r="D20" s="778"/>
      <c r="E20" s="783"/>
      <c r="F20" s="755" t="s">
        <v>651</v>
      </c>
      <c r="G20" s="754" t="s">
        <v>653</v>
      </c>
      <c r="H20" s="686">
        <v>6917</v>
      </c>
      <c r="I20" s="370">
        <v>1297</v>
      </c>
      <c r="J20" s="525">
        <v>1</v>
      </c>
    </row>
    <row r="21" spans="2:12" x14ac:dyDescent="0.25">
      <c r="B21" s="783"/>
      <c r="C21" s="783"/>
      <c r="D21" s="778"/>
      <c r="E21" s="783"/>
      <c r="F21" s="755" t="s">
        <v>63</v>
      </c>
      <c r="G21" s="754" t="s">
        <v>152</v>
      </c>
      <c r="H21" s="686">
        <v>8189</v>
      </c>
      <c r="I21" s="370">
        <v>1397</v>
      </c>
      <c r="J21" s="525">
        <v>1</v>
      </c>
    </row>
    <row r="22" spans="2:12" x14ac:dyDescent="0.25">
      <c r="B22" s="783"/>
      <c r="C22" s="783"/>
      <c r="D22" s="778"/>
      <c r="E22" s="783"/>
      <c r="F22" s="755" t="s">
        <v>654</v>
      </c>
      <c r="G22" s="754" t="s">
        <v>561</v>
      </c>
      <c r="H22" s="686">
        <v>3389</v>
      </c>
      <c r="I22" s="370">
        <v>649</v>
      </c>
      <c r="J22" s="525">
        <v>1</v>
      </c>
    </row>
    <row r="23" spans="2:12" x14ac:dyDescent="0.25">
      <c r="B23" s="783"/>
      <c r="C23" s="783"/>
      <c r="D23" s="778"/>
      <c r="E23" s="783"/>
      <c r="F23" s="755" t="s">
        <v>655</v>
      </c>
      <c r="G23" s="754" t="s">
        <v>657</v>
      </c>
      <c r="H23" s="686">
        <v>13655</v>
      </c>
      <c r="I23" s="370">
        <v>2629</v>
      </c>
      <c r="J23" s="525">
        <v>1</v>
      </c>
    </row>
    <row r="24" spans="2:12" x14ac:dyDescent="0.25">
      <c r="B24" s="783"/>
      <c r="C24" s="783"/>
      <c r="D24" s="779"/>
      <c r="E24" s="784"/>
      <c r="F24" s="752" t="s">
        <v>67</v>
      </c>
      <c r="G24" s="754" t="s">
        <v>156</v>
      </c>
      <c r="H24" s="686">
        <v>12178</v>
      </c>
      <c r="I24" s="370">
        <v>2436</v>
      </c>
      <c r="J24" s="525">
        <v>1</v>
      </c>
    </row>
    <row r="25" spans="2:12" x14ac:dyDescent="0.25">
      <c r="B25" s="783"/>
      <c r="C25" s="782" t="s">
        <v>643</v>
      </c>
      <c r="D25" s="787" t="s">
        <v>687</v>
      </c>
      <c r="E25" s="777" t="s">
        <v>913</v>
      </c>
      <c r="F25" s="753" t="s">
        <v>61</v>
      </c>
      <c r="G25" s="754" t="s">
        <v>150</v>
      </c>
      <c r="H25" s="686">
        <v>2049</v>
      </c>
      <c r="I25" s="370">
        <v>397</v>
      </c>
      <c r="J25" s="525">
        <v>1</v>
      </c>
    </row>
    <row r="26" spans="2:12" x14ac:dyDescent="0.25">
      <c r="B26" s="783"/>
      <c r="C26" s="783"/>
      <c r="D26" s="778"/>
      <c r="E26" s="783"/>
      <c r="F26" s="755" t="s">
        <v>64</v>
      </c>
      <c r="G26" s="754" t="s">
        <v>153</v>
      </c>
      <c r="H26" s="686">
        <v>4354</v>
      </c>
      <c r="I26" s="370">
        <v>799</v>
      </c>
      <c r="J26" s="525">
        <v>1</v>
      </c>
    </row>
    <row r="27" spans="2:12" x14ac:dyDescent="0.25">
      <c r="B27" s="783"/>
      <c r="C27" s="783"/>
      <c r="D27" s="778"/>
      <c r="E27" s="783"/>
      <c r="F27" s="755" t="s">
        <v>656</v>
      </c>
      <c r="G27" s="754" t="s">
        <v>658</v>
      </c>
      <c r="H27" s="686">
        <v>12225</v>
      </c>
      <c r="I27" s="370">
        <v>2243</v>
      </c>
      <c r="J27" s="525">
        <v>1</v>
      </c>
    </row>
    <row r="28" spans="2:12" x14ac:dyDescent="0.25">
      <c r="B28" s="783"/>
      <c r="C28" s="783"/>
      <c r="D28" s="778"/>
      <c r="E28" s="783"/>
      <c r="F28" s="755" t="s">
        <v>78</v>
      </c>
      <c r="G28" s="754" t="s">
        <v>167</v>
      </c>
      <c r="H28" s="686">
        <v>462</v>
      </c>
      <c r="I28" s="370">
        <v>72</v>
      </c>
      <c r="J28" s="525">
        <v>1</v>
      </c>
    </row>
    <row r="29" spans="2:12" x14ac:dyDescent="0.25">
      <c r="B29" s="783"/>
      <c r="C29" s="783"/>
      <c r="D29" s="778"/>
      <c r="E29" s="783"/>
      <c r="F29" s="755" t="s">
        <v>248</v>
      </c>
      <c r="G29" s="754" t="s">
        <v>285</v>
      </c>
      <c r="H29" s="686">
        <v>640</v>
      </c>
      <c r="I29" s="370">
        <v>151</v>
      </c>
      <c r="J29" s="525">
        <v>1</v>
      </c>
    </row>
    <row r="30" spans="2:12" ht="15.75" thickBot="1" x14ac:dyDescent="0.3">
      <c r="B30" s="784"/>
      <c r="C30" s="784"/>
      <c r="D30" s="779"/>
      <c r="E30" s="784"/>
      <c r="F30" s="752" t="s">
        <v>68</v>
      </c>
      <c r="G30" s="754" t="s">
        <v>157</v>
      </c>
      <c r="H30" s="674">
        <v>11663</v>
      </c>
      <c r="I30" s="673">
        <v>2145</v>
      </c>
      <c r="J30" s="510">
        <v>1</v>
      </c>
    </row>
    <row r="31" spans="2:12" ht="15.75" thickBot="1" x14ac:dyDescent="0.3">
      <c r="B31" s="791" t="s">
        <v>665</v>
      </c>
      <c r="C31" s="792"/>
      <c r="D31" s="792"/>
      <c r="E31" s="792"/>
      <c r="F31" s="792"/>
      <c r="G31" s="793"/>
      <c r="H31" s="631">
        <v>93062</v>
      </c>
      <c r="I31" s="632">
        <v>17487</v>
      </c>
      <c r="J31" s="633">
        <v>16</v>
      </c>
    </row>
    <row r="32" spans="2:12" x14ac:dyDescent="0.25">
      <c r="B32" s="777" t="s">
        <v>915</v>
      </c>
      <c r="C32" s="777" t="s">
        <v>733</v>
      </c>
      <c r="D32" s="777" t="s">
        <v>688</v>
      </c>
      <c r="E32" s="777" t="s">
        <v>843</v>
      </c>
      <c r="F32" s="753" t="s">
        <v>37</v>
      </c>
      <c r="G32" s="754" t="s">
        <v>124</v>
      </c>
      <c r="H32" s="346">
        <v>198</v>
      </c>
      <c r="I32" s="370">
        <v>42</v>
      </c>
      <c r="J32" s="66">
        <v>1</v>
      </c>
    </row>
    <row r="33" spans="2:10" x14ac:dyDescent="0.25">
      <c r="B33" s="784"/>
      <c r="C33" s="779"/>
      <c r="D33" s="779"/>
      <c r="E33" s="784"/>
      <c r="F33" s="752" t="s">
        <v>38</v>
      </c>
      <c r="G33" s="754" t="s">
        <v>125</v>
      </c>
      <c r="H33" s="362">
        <v>2815</v>
      </c>
      <c r="I33" s="673">
        <v>682</v>
      </c>
      <c r="J33" s="303">
        <v>1</v>
      </c>
    </row>
    <row r="34" spans="2:10" x14ac:dyDescent="0.25">
      <c r="B34" s="770" t="s">
        <v>916</v>
      </c>
      <c r="C34" s="771"/>
      <c r="D34" s="771"/>
      <c r="E34" s="771"/>
      <c r="F34" s="771"/>
      <c r="G34" s="772"/>
      <c r="H34" s="628">
        <v>3013</v>
      </c>
      <c r="I34" s="690">
        <v>724</v>
      </c>
      <c r="J34" s="691">
        <v>2</v>
      </c>
    </row>
    <row r="35" spans="2:10" x14ac:dyDescent="0.25">
      <c r="B35" s="773" t="s">
        <v>215</v>
      </c>
      <c r="C35" s="774"/>
      <c r="D35" s="774"/>
      <c r="E35" s="774"/>
      <c r="F35" s="774"/>
      <c r="G35" s="774"/>
      <c r="H35" s="684">
        <v>115620</v>
      </c>
      <c r="I35" s="370">
        <v>22895</v>
      </c>
      <c r="J35" s="370">
        <v>23</v>
      </c>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4">
    <mergeCell ref="B34:G34"/>
    <mergeCell ref="B35:G35"/>
    <mergeCell ref="C9:C10"/>
    <mergeCell ref="C11:C13"/>
    <mergeCell ref="C15:C18"/>
    <mergeCell ref="C19:C24"/>
    <mergeCell ref="C25:C30"/>
    <mergeCell ref="C32:C33"/>
    <mergeCell ref="D9:D10"/>
    <mergeCell ref="D11:D13"/>
    <mergeCell ref="D15:D18"/>
    <mergeCell ref="D19:D30"/>
    <mergeCell ref="D32:D33"/>
    <mergeCell ref="E9:E10"/>
    <mergeCell ref="E11:E13"/>
    <mergeCell ref="E15:E18"/>
    <mergeCell ref="B9:B13"/>
    <mergeCell ref="B14:G14"/>
    <mergeCell ref="B15:B30"/>
    <mergeCell ref="B31:G31"/>
    <mergeCell ref="B32:B33"/>
    <mergeCell ref="E19:E24"/>
    <mergeCell ref="E25:E30"/>
    <mergeCell ref="E32:E33"/>
  </mergeCells>
  <pageMargins left="0.7" right="0.7" top="0.75" bottom="0.75" header="0.3" footer="0.3"/>
  <pageSetup paperSize="9" scale="7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74"/>
  <sheetViews>
    <sheetView zoomScale="83" zoomScaleNormal="83" workbookViewId="0">
      <selection activeCell="B4" sqref="B4:D4"/>
    </sheetView>
  </sheetViews>
  <sheetFormatPr defaultRowHeight="15" x14ac:dyDescent="0.25"/>
  <cols>
    <col min="1" max="1" width="1.7109375" style="102" customWidth="1"/>
  </cols>
  <sheetData>
    <row r="1" spans="2:62" s="102" customFormat="1" ht="8.25" customHeight="1" thickBot="1" x14ac:dyDescent="0.3"/>
    <row r="2" spans="2:62" s="1" customFormat="1" ht="36.75" customHeight="1" x14ac:dyDescent="0.25">
      <c r="B2" s="542"/>
      <c r="C2" s="543"/>
      <c r="D2" s="543"/>
      <c r="E2" s="543"/>
      <c r="F2" s="543"/>
      <c r="G2" s="543"/>
      <c r="H2" s="543"/>
      <c r="I2" s="543"/>
      <c r="J2" s="543"/>
      <c r="K2" s="543"/>
      <c r="L2" s="543"/>
      <c r="M2" s="543"/>
      <c r="N2" s="543"/>
      <c r="O2" s="543"/>
      <c r="P2" s="552"/>
      <c r="Q2" s="102"/>
      <c r="R2" s="102"/>
      <c r="S2" s="102"/>
      <c r="T2" s="102"/>
      <c r="U2" s="102"/>
      <c r="V2" s="102"/>
      <c r="W2" s="102"/>
      <c r="X2" s="102"/>
      <c r="Y2" s="102"/>
      <c r="Z2" s="102"/>
      <c r="BI2" s="80"/>
      <c r="BJ2" s="80"/>
    </row>
    <row r="3" spans="2:62" s="1" customFormat="1" ht="29.25" customHeight="1" x14ac:dyDescent="0.25">
      <c r="B3" s="544" t="s">
        <v>818</v>
      </c>
      <c r="C3" s="192"/>
      <c r="D3" s="192"/>
      <c r="E3" s="79"/>
      <c r="F3" s="79"/>
      <c r="G3" s="79"/>
      <c r="H3" s="79"/>
      <c r="I3" s="79"/>
      <c r="J3" s="79"/>
      <c r="K3" s="79"/>
      <c r="L3" s="79"/>
      <c r="M3" s="79"/>
      <c r="N3" s="79"/>
      <c r="O3" s="79"/>
      <c r="P3" s="553"/>
      <c r="Q3" s="102"/>
      <c r="R3" s="102"/>
      <c r="S3" s="102"/>
      <c r="T3" s="102"/>
      <c r="U3" s="102"/>
      <c r="V3" s="102"/>
      <c r="W3" s="102"/>
      <c r="X3" s="102"/>
      <c r="Y3" s="102"/>
      <c r="Z3" s="102"/>
      <c r="BG3" s="80"/>
      <c r="BH3" s="80"/>
    </row>
    <row r="4" spans="2:62" s="21" customFormat="1" ht="21.75" customHeight="1" x14ac:dyDescent="0.25">
      <c r="B4" s="794">
        <f>Report_Date</f>
        <v>42339</v>
      </c>
      <c r="C4" s="769"/>
      <c r="D4" s="769"/>
      <c r="E4" s="212"/>
      <c r="F4" s="212"/>
      <c r="G4" s="212"/>
      <c r="H4" s="212"/>
      <c r="I4" s="212"/>
      <c r="J4" s="212"/>
      <c r="K4" s="212"/>
      <c r="L4" s="213"/>
      <c r="M4" s="212"/>
      <c r="N4" s="212"/>
      <c r="O4" s="212"/>
      <c r="P4" s="554"/>
      <c r="Q4" s="102"/>
      <c r="R4" s="102"/>
      <c r="S4" s="102"/>
      <c r="T4" s="102"/>
      <c r="U4" s="102"/>
      <c r="V4" s="102"/>
      <c r="W4" s="102"/>
      <c r="X4" s="102"/>
      <c r="Y4" s="102"/>
      <c r="Z4" s="102"/>
      <c r="BG4" s="81"/>
      <c r="BH4" s="81"/>
    </row>
    <row r="5" spans="2:62" x14ac:dyDescent="0.25">
      <c r="B5" s="545"/>
      <c r="C5" s="204"/>
      <c r="D5" s="204"/>
      <c r="E5" s="204"/>
      <c r="F5" s="204"/>
      <c r="G5" s="204"/>
      <c r="H5" s="204"/>
      <c r="I5" s="204"/>
      <c r="J5" s="204"/>
      <c r="K5" s="204"/>
      <c r="L5" s="204"/>
      <c r="M5" s="204"/>
      <c r="N5" s="204"/>
      <c r="O5" s="204"/>
      <c r="P5" s="546"/>
      <c r="Q5" s="102"/>
      <c r="R5" s="102"/>
      <c r="S5" s="102"/>
      <c r="T5" s="102"/>
      <c r="U5" s="102"/>
      <c r="V5" s="102"/>
      <c r="W5" s="102"/>
      <c r="X5" s="102"/>
      <c r="Y5" s="102"/>
      <c r="Z5" s="102"/>
    </row>
    <row r="6" spans="2:62" x14ac:dyDescent="0.25">
      <c r="B6" s="545"/>
      <c r="C6" s="204"/>
      <c r="D6" s="204"/>
      <c r="E6" s="204"/>
      <c r="F6" s="204"/>
      <c r="G6" s="204"/>
      <c r="H6" s="204"/>
      <c r="I6" s="204"/>
      <c r="J6" s="204"/>
      <c r="K6" s="204"/>
      <c r="L6" s="204"/>
      <c r="M6" s="204"/>
      <c r="N6" s="204"/>
      <c r="O6" s="204"/>
      <c r="P6" s="546"/>
    </row>
    <row r="7" spans="2:62" x14ac:dyDescent="0.25">
      <c r="B7" s="545"/>
      <c r="C7" s="204"/>
      <c r="D7" s="204"/>
      <c r="E7" s="204"/>
      <c r="F7" s="204"/>
      <c r="G7" s="204"/>
      <c r="H7" s="204"/>
      <c r="I7" s="204"/>
      <c r="J7" s="204"/>
      <c r="K7" s="204"/>
      <c r="L7" s="204"/>
      <c r="M7" s="204"/>
      <c r="N7" s="204"/>
      <c r="O7" s="204"/>
      <c r="P7" s="546"/>
    </row>
    <row r="8" spans="2:62" x14ac:dyDescent="0.25">
      <c r="B8" s="545"/>
      <c r="C8" s="204"/>
      <c r="D8" s="204"/>
      <c r="E8" s="204"/>
      <c r="F8" s="204"/>
      <c r="G8" s="204"/>
      <c r="H8" s="204"/>
      <c r="I8" s="204"/>
      <c r="J8" s="204"/>
      <c r="K8" s="204"/>
      <c r="L8" s="204"/>
      <c r="M8" s="204"/>
      <c r="N8" s="204"/>
      <c r="O8" s="204"/>
      <c r="P8" s="546"/>
    </row>
    <row r="9" spans="2:62" x14ac:dyDescent="0.25">
      <c r="B9" s="545"/>
      <c r="C9" s="204"/>
      <c r="D9" s="204"/>
      <c r="E9" s="204"/>
      <c r="F9" s="204"/>
      <c r="G9" s="204"/>
      <c r="H9" s="204"/>
      <c r="I9" s="204"/>
      <c r="J9" s="204"/>
      <c r="K9" s="204"/>
      <c r="L9" s="204"/>
      <c r="M9" s="204"/>
      <c r="N9" s="204"/>
      <c r="O9" s="204"/>
      <c r="P9" s="546"/>
    </row>
    <row r="10" spans="2:62" x14ac:dyDescent="0.25">
      <c r="B10" s="545"/>
      <c r="C10" s="204"/>
      <c r="D10" s="204"/>
      <c r="E10" s="204"/>
      <c r="F10" s="204"/>
      <c r="G10" s="204"/>
      <c r="H10" s="204"/>
      <c r="I10" s="204"/>
      <c r="J10" s="204"/>
      <c r="K10" s="204"/>
      <c r="L10" s="204"/>
      <c r="M10" s="204"/>
      <c r="N10" s="204"/>
      <c r="O10" s="204"/>
      <c r="P10" s="546"/>
    </row>
    <row r="11" spans="2:62" x14ac:dyDescent="0.25">
      <c r="B11" s="545"/>
      <c r="C11" s="204"/>
      <c r="D11" s="204"/>
      <c r="E11" s="204"/>
      <c r="F11" s="204"/>
      <c r="G11" s="204"/>
      <c r="H11" s="204"/>
      <c r="I11" s="204"/>
      <c r="J11" s="204"/>
      <c r="K11" s="204"/>
      <c r="L11" s="204"/>
      <c r="M11" s="204"/>
      <c r="N11" s="204"/>
      <c r="O11" s="204"/>
      <c r="P11" s="546"/>
    </row>
    <row r="12" spans="2:62" x14ac:dyDescent="0.25">
      <c r="B12" s="545"/>
      <c r="C12" s="204"/>
      <c r="D12" s="204"/>
      <c r="E12" s="204"/>
      <c r="F12" s="204"/>
      <c r="G12" s="204"/>
      <c r="H12" s="204"/>
      <c r="I12" s="204"/>
      <c r="J12" s="204"/>
      <c r="K12" s="204"/>
      <c r="L12" s="204"/>
      <c r="M12" s="204"/>
      <c r="N12" s="204"/>
      <c r="O12" s="204"/>
      <c r="P12" s="546"/>
    </row>
    <row r="13" spans="2:62" x14ac:dyDescent="0.25">
      <c r="B13" s="545"/>
      <c r="C13" s="204"/>
      <c r="D13" s="204"/>
      <c r="E13" s="204"/>
      <c r="F13" s="204"/>
      <c r="G13" s="204"/>
      <c r="H13" s="204"/>
      <c r="I13" s="204"/>
      <c r="J13" s="204"/>
      <c r="K13" s="204"/>
      <c r="L13" s="204"/>
      <c r="M13" s="204"/>
      <c r="N13" s="204"/>
      <c r="O13" s="204"/>
      <c r="P13" s="546"/>
    </row>
    <row r="14" spans="2:62" x14ac:dyDescent="0.25">
      <c r="B14" s="545"/>
      <c r="C14" s="204"/>
      <c r="D14" s="204"/>
      <c r="E14" s="204"/>
      <c r="F14" s="204"/>
      <c r="G14" s="204"/>
      <c r="H14" s="204"/>
      <c r="I14" s="204"/>
      <c r="J14" s="204"/>
      <c r="K14" s="204"/>
      <c r="L14" s="204"/>
      <c r="M14" s="204"/>
      <c r="N14" s="204"/>
      <c r="O14" s="204"/>
      <c r="P14" s="546"/>
    </row>
    <row r="15" spans="2:62" x14ac:dyDescent="0.25">
      <c r="B15" s="545"/>
      <c r="C15" s="204"/>
      <c r="D15" s="204"/>
      <c r="E15" s="204"/>
      <c r="F15" s="204"/>
      <c r="G15" s="204"/>
      <c r="H15" s="204"/>
      <c r="I15" s="204"/>
      <c r="J15" s="204"/>
      <c r="K15" s="204"/>
      <c r="L15" s="204"/>
      <c r="M15" s="204"/>
      <c r="N15" s="204"/>
      <c r="O15" s="204"/>
      <c r="P15" s="546"/>
    </row>
    <row r="16" spans="2:62" x14ac:dyDescent="0.25">
      <c r="B16" s="545"/>
      <c r="C16" s="204"/>
      <c r="D16" s="204"/>
      <c r="E16" s="204"/>
      <c r="F16" s="204"/>
      <c r="G16" s="204"/>
      <c r="H16" s="204"/>
      <c r="I16" s="204"/>
      <c r="J16" s="204"/>
      <c r="K16" s="204"/>
      <c r="L16" s="204"/>
      <c r="M16" s="204"/>
      <c r="N16" s="204"/>
      <c r="O16" s="204"/>
      <c r="P16" s="546"/>
    </row>
    <row r="17" spans="2:16" x14ac:dyDescent="0.25">
      <c r="B17" s="545"/>
      <c r="C17" s="204"/>
      <c r="D17" s="204"/>
      <c r="E17" s="204"/>
      <c r="F17" s="204"/>
      <c r="G17" s="204"/>
      <c r="H17" s="204"/>
      <c r="I17" s="204"/>
      <c r="J17" s="204"/>
      <c r="K17" s="204"/>
      <c r="L17" s="204"/>
      <c r="M17" s="204"/>
      <c r="N17" s="204"/>
      <c r="O17" s="204"/>
      <c r="P17" s="546"/>
    </row>
    <row r="18" spans="2:16" x14ac:dyDescent="0.25">
      <c r="B18" s="545"/>
      <c r="C18" s="204"/>
      <c r="D18" s="204"/>
      <c r="E18" s="204"/>
      <c r="F18" s="204"/>
      <c r="G18" s="204"/>
      <c r="H18" s="204"/>
      <c r="I18" s="204"/>
      <c r="J18" s="204"/>
      <c r="K18" s="204"/>
      <c r="L18" s="204"/>
      <c r="M18" s="204"/>
      <c r="N18" s="204"/>
      <c r="O18" s="204"/>
      <c r="P18" s="546"/>
    </row>
    <row r="19" spans="2:16" x14ac:dyDescent="0.25">
      <c r="B19" s="545"/>
      <c r="C19" s="204"/>
      <c r="D19" s="204"/>
      <c r="E19" s="204"/>
      <c r="F19" s="204"/>
      <c r="G19" s="204"/>
      <c r="H19" s="204"/>
      <c r="I19" s="204"/>
      <c r="J19" s="204"/>
      <c r="K19" s="204"/>
      <c r="L19" s="204"/>
      <c r="M19" s="204"/>
      <c r="N19" s="204"/>
      <c r="O19" s="204"/>
      <c r="P19" s="546"/>
    </row>
    <row r="20" spans="2:16" x14ac:dyDescent="0.25">
      <c r="B20" s="545"/>
      <c r="C20" s="204"/>
      <c r="D20" s="204"/>
      <c r="E20" s="204"/>
      <c r="F20" s="204"/>
      <c r="G20" s="204"/>
      <c r="H20" s="204"/>
      <c r="I20" s="204"/>
      <c r="J20" s="204"/>
      <c r="K20" s="204"/>
      <c r="L20" s="204"/>
      <c r="M20" s="204"/>
      <c r="N20" s="204"/>
      <c r="O20" s="204"/>
      <c r="P20" s="546"/>
    </row>
    <row r="21" spans="2:16" x14ac:dyDescent="0.25">
      <c r="B21" s="545"/>
      <c r="C21" s="204"/>
      <c r="D21" s="204"/>
      <c r="E21" s="204"/>
      <c r="F21" s="204"/>
      <c r="G21" s="204"/>
      <c r="H21" s="204"/>
      <c r="I21" s="204"/>
      <c r="J21" s="204"/>
      <c r="K21" s="204"/>
      <c r="L21" s="204"/>
      <c r="M21" s="204"/>
      <c r="N21" s="204"/>
      <c r="O21" s="204"/>
      <c r="P21" s="546"/>
    </row>
    <row r="22" spans="2:16" x14ac:dyDescent="0.25">
      <c r="B22" s="545"/>
      <c r="C22" s="204"/>
      <c r="D22" s="204"/>
      <c r="E22" s="204"/>
      <c r="F22" s="204"/>
      <c r="G22" s="204"/>
      <c r="H22" s="204"/>
      <c r="I22" s="204"/>
      <c r="J22" s="204"/>
      <c r="K22" s="204"/>
      <c r="L22" s="204"/>
      <c r="M22" s="204"/>
      <c r="N22" s="204"/>
      <c r="O22" s="204"/>
      <c r="P22" s="546"/>
    </row>
    <row r="23" spans="2:16" x14ac:dyDescent="0.25">
      <c r="B23" s="545"/>
      <c r="C23" s="204"/>
      <c r="D23" s="204"/>
      <c r="E23" s="204"/>
      <c r="F23" s="204"/>
      <c r="G23" s="204"/>
      <c r="H23" s="204"/>
      <c r="I23" s="204"/>
      <c r="J23" s="204"/>
      <c r="K23" s="204"/>
      <c r="L23" s="204"/>
      <c r="M23" s="204"/>
      <c r="N23" s="204"/>
      <c r="O23" s="204"/>
      <c r="P23" s="546"/>
    </row>
    <row r="24" spans="2:16" x14ac:dyDescent="0.25">
      <c r="B24" s="545"/>
      <c r="C24" s="204"/>
      <c r="D24" s="204"/>
      <c r="E24" s="204"/>
      <c r="F24" s="204"/>
      <c r="G24" s="204"/>
      <c r="H24" s="204"/>
      <c r="I24" s="204"/>
      <c r="J24" s="204"/>
      <c r="K24" s="204"/>
      <c r="L24" s="204"/>
      <c r="M24" s="204"/>
      <c r="N24" s="204"/>
      <c r="O24" s="204"/>
      <c r="P24" s="546"/>
    </row>
    <row r="25" spans="2:16" x14ac:dyDescent="0.25">
      <c r="B25" s="545"/>
      <c r="C25" s="204"/>
      <c r="D25" s="204"/>
      <c r="E25" s="204"/>
      <c r="F25" s="204"/>
      <c r="G25" s="204"/>
      <c r="H25" s="204"/>
      <c r="I25" s="204"/>
      <c r="J25" s="204"/>
      <c r="K25" s="204"/>
      <c r="L25" s="204"/>
      <c r="M25" s="204"/>
      <c r="N25" s="204"/>
      <c r="O25" s="204"/>
      <c r="P25" s="546"/>
    </row>
    <row r="26" spans="2:16" x14ac:dyDescent="0.25">
      <c r="B26" s="545"/>
      <c r="C26" s="204"/>
      <c r="D26" s="204"/>
      <c r="E26" s="204"/>
      <c r="F26" s="204"/>
      <c r="G26" s="204"/>
      <c r="H26" s="204"/>
      <c r="I26" s="204"/>
      <c r="J26" s="204"/>
      <c r="K26" s="204"/>
      <c r="L26" s="204"/>
      <c r="M26" s="204"/>
      <c r="N26" s="204"/>
      <c r="O26" s="204"/>
      <c r="P26" s="546"/>
    </row>
    <row r="27" spans="2:16" x14ac:dyDescent="0.25">
      <c r="B27" s="545"/>
      <c r="C27" s="204"/>
      <c r="D27" s="204"/>
      <c r="E27" s="204"/>
      <c r="F27" s="204"/>
      <c r="G27" s="204"/>
      <c r="H27" s="204"/>
      <c r="I27" s="204"/>
      <c r="J27" s="204"/>
      <c r="K27" s="204"/>
      <c r="L27" s="204"/>
      <c r="M27" s="204"/>
      <c r="N27" s="204"/>
      <c r="O27" s="204"/>
      <c r="P27" s="546"/>
    </row>
    <row r="28" spans="2:16" x14ac:dyDescent="0.25">
      <c r="B28" s="545"/>
      <c r="C28" s="204"/>
      <c r="D28" s="204"/>
      <c r="E28" s="204"/>
      <c r="F28" s="204"/>
      <c r="G28" s="204"/>
      <c r="H28" s="204"/>
      <c r="I28" s="204"/>
      <c r="J28" s="204"/>
      <c r="K28" s="204"/>
      <c r="L28" s="204"/>
      <c r="M28" s="204"/>
      <c r="N28" s="204"/>
      <c r="O28" s="204"/>
      <c r="P28" s="546"/>
    </row>
    <row r="29" spans="2:16" x14ac:dyDescent="0.25">
      <c r="B29" s="545"/>
      <c r="C29" s="204"/>
      <c r="D29" s="204"/>
      <c r="E29" s="204"/>
      <c r="F29" s="204"/>
      <c r="G29" s="204"/>
      <c r="H29" s="204"/>
      <c r="I29" s="204"/>
      <c r="J29" s="204"/>
      <c r="K29" s="204"/>
      <c r="L29" s="204"/>
      <c r="M29" s="204"/>
      <c r="N29" s="204"/>
      <c r="O29" s="204"/>
      <c r="P29" s="546"/>
    </row>
    <row r="30" spans="2:16" x14ac:dyDescent="0.25">
      <c r="B30" s="545"/>
      <c r="C30" s="204"/>
      <c r="D30" s="204"/>
      <c r="E30" s="204"/>
      <c r="F30" s="204"/>
      <c r="G30" s="204"/>
      <c r="H30" s="204"/>
      <c r="I30" s="204"/>
      <c r="J30" s="204"/>
      <c r="K30" s="204"/>
      <c r="L30" s="204"/>
      <c r="M30" s="204"/>
      <c r="N30" s="204"/>
      <c r="O30" s="204"/>
      <c r="P30" s="546"/>
    </row>
    <row r="31" spans="2:16" x14ac:dyDescent="0.25">
      <c r="B31" s="545"/>
      <c r="C31" s="204"/>
      <c r="D31" s="204"/>
      <c r="E31" s="204"/>
      <c r="F31" s="204"/>
      <c r="G31" s="204"/>
      <c r="H31" s="204"/>
      <c r="I31" s="204"/>
      <c r="J31" s="204"/>
      <c r="K31" s="204"/>
      <c r="L31" s="204"/>
      <c r="M31" s="204"/>
      <c r="N31" s="204"/>
      <c r="O31" s="204"/>
      <c r="P31" s="546"/>
    </row>
    <row r="32" spans="2:16" x14ac:dyDescent="0.25">
      <c r="B32" s="545"/>
      <c r="C32" s="204"/>
      <c r="D32" s="204"/>
      <c r="E32" s="204"/>
      <c r="F32" s="204"/>
      <c r="G32" s="204"/>
      <c r="H32" s="204"/>
      <c r="I32" s="204"/>
      <c r="J32" s="204"/>
      <c r="K32" s="204"/>
      <c r="L32" s="204"/>
      <c r="M32" s="204"/>
      <c r="N32" s="204"/>
      <c r="O32" s="204"/>
      <c r="P32" s="546"/>
    </row>
    <row r="33" spans="2:16" x14ac:dyDescent="0.25">
      <c r="B33" s="545"/>
      <c r="C33" s="204"/>
      <c r="D33" s="204"/>
      <c r="E33" s="204"/>
      <c r="F33" s="204"/>
      <c r="G33" s="204"/>
      <c r="H33" s="204"/>
      <c r="I33" s="204"/>
      <c r="J33" s="204"/>
      <c r="K33" s="204"/>
      <c r="L33" s="204"/>
      <c r="M33" s="204"/>
      <c r="N33" s="204"/>
      <c r="O33" s="204"/>
      <c r="P33" s="546"/>
    </row>
    <row r="34" spans="2:16" x14ac:dyDescent="0.25">
      <c r="B34" s="545"/>
      <c r="C34" s="204"/>
      <c r="D34" s="204"/>
      <c r="E34" s="204"/>
      <c r="F34" s="204"/>
      <c r="G34" s="204"/>
      <c r="H34" s="204"/>
      <c r="I34" s="204"/>
      <c r="J34" s="204"/>
      <c r="K34" s="204"/>
      <c r="L34" s="204"/>
      <c r="M34" s="204"/>
      <c r="N34" s="204"/>
      <c r="O34" s="204"/>
      <c r="P34" s="546"/>
    </row>
    <row r="35" spans="2:16" x14ac:dyDescent="0.25">
      <c r="B35" s="545"/>
      <c r="C35" s="204"/>
      <c r="D35" s="204"/>
      <c r="E35" s="204"/>
      <c r="F35" s="204"/>
      <c r="G35" s="204"/>
      <c r="H35" s="204"/>
      <c r="I35" s="204"/>
      <c r="J35" s="204"/>
      <c r="K35" s="204"/>
      <c r="L35" s="204"/>
      <c r="M35" s="204"/>
      <c r="N35" s="204"/>
      <c r="O35" s="204"/>
      <c r="P35" s="546"/>
    </row>
    <row r="36" spans="2:16" x14ac:dyDescent="0.25">
      <c r="B36" s="545"/>
      <c r="C36" s="204"/>
      <c r="D36" s="204"/>
      <c r="E36" s="204"/>
      <c r="F36" s="204"/>
      <c r="G36" s="204"/>
      <c r="H36" s="204"/>
      <c r="I36" s="204"/>
      <c r="J36" s="204"/>
      <c r="K36" s="204"/>
      <c r="L36" s="204"/>
      <c r="M36" s="204"/>
      <c r="N36" s="204"/>
      <c r="O36" s="204"/>
      <c r="P36" s="546"/>
    </row>
    <row r="37" spans="2:16" x14ac:dyDescent="0.25">
      <c r="B37" s="545"/>
      <c r="C37" s="204"/>
      <c r="D37" s="204"/>
      <c r="E37" s="204"/>
      <c r="F37" s="204"/>
      <c r="G37" s="204"/>
      <c r="H37" s="204"/>
      <c r="I37" s="204"/>
      <c r="J37" s="204"/>
      <c r="K37" s="204"/>
      <c r="L37" s="204"/>
      <c r="M37" s="204"/>
      <c r="N37" s="204"/>
      <c r="O37" s="204"/>
      <c r="P37" s="546"/>
    </row>
    <row r="38" spans="2:16" x14ac:dyDescent="0.25">
      <c r="B38" s="545"/>
      <c r="C38" s="204"/>
      <c r="D38" s="204"/>
      <c r="E38" s="204"/>
      <c r="F38" s="204"/>
      <c r="G38" s="204"/>
      <c r="H38" s="204"/>
      <c r="I38" s="204"/>
      <c r="J38" s="204"/>
      <c r="K38" s="204"/>
      <c r="L38" s="204"/>
      <c r="M38" s="204"/>
      <c r="N38" s="204"/>
      <c r="O38" s="204"/>
      <c r="P38" s="546"/>
    </row>
    <row r="39" spans="2:16" x14ac:dyDescent="0.25">
      <c r="B39" s="545"/>
      <c r="C39" s="204"/>
      <c r="D39" s="204"/>
      <c r="E39" s="204"/>
      <c r="F39" s="204"/>
      <c r="G39" s="204"/>
      <c r="H39" s="204"/>
      <c r="I39" s="204"/>
      <c r="J39" s="204"/>
      <c r="K39" s="204"/>
      <c r="L39" s="204"/>
      <c r="M39" s="204"/>
      <c r="N39" s="204"/>
      <c r="O39" s="204"/>
      <c r="P39" s="546"/>
    </row>
    <row r="40" spans="2:16" x14ac:dyDescent="0.25">
      <c r="B40" s="545"/>
      <c r="C40" s="204"/>
      <c r="D40" s="204"/>
      <c r="E40" s="204"/>
      <c r="F40" s="204"/>
      <c r="G40" s="204"/>
      <c r="H40" s="204"/>
      <c r="I40" s="204"/>
      <c r="J40" s="204"/>
      <c r="K40" s="204"/>
      <c r="L40" s="204"/>
      <c r="M40" s="204"/>
      <c r="N40" s="204"/>
      <c r="O40" s="204"/>
      <c r="P40" s="546"/>
    </row>
    <row r="41" spans="2:16" x14ac:dyDescent="0.25">
      <c r="B41" s="545"/>
      <c r="C41" s="204"/>
      <c r="D41" s="204"/>
      <c r="E41" s="204"/>
      <c r="F41" s="204"/>
      <c r="G41" s="204"/>
      <c r="H41" s="204"/>
      <c r="I41" s="204"/>
      <c r="J41" s="204"/>
      <c r="K41" s="204"/>
      <c r="L41" s="204"/>
      <c r="M41" s="204"/>
      <c r="N41" s="204"/>
      <c r="O41" s="204"/>
      <c r="P41" s="546"/>
    </row>
    <row r="42" spans="2:16" x14ac:dyDescent="0.25">
      <c r="B42" s="545"/>
      <c r="C42" s="204"/>
      <c r="D42" s="204"/>
      <c r="E42" s="204"/>
      <c r="F42" s="204"/>
      <c r="G42" s="204"/>
      <c r="H42" s="204"/>
      <c r="I42" s="204"/>
      <c r="J42" s="204"/>
      <c r="K42" s="204"/>
      <c r="L42" s="204"/>
      <c r="M42" s="204"/>
      <c r="N42" s="204"/>
      <c r="O42" s="204"/>
      <c r="P42" s="546"/>
    </row>
    <row r="43" spans="2:16" x14ac:dyDescent="0.25">
      <c r="B43" s="545"/>
      <c r="C43" s="204"/>
      <c r="D43" s="204"/>
      <c r="E43" s="204"/>
      <c r="F43" s="204"/>
      <c r="G43" s="204"/>
      <c r="H43" s="204"/>
      <c r="I43" s="204"/>
      <c r="J43" s="204"/>
      <c r="K43" s="204"/>
      <c r="L43" s="204"/>
      <c r="M43" s="204"/>
      <c r="N43" s="204"/>
      <c r="O43" s="204"/>
      <c r="P43" s="546"/>
    </row>
    <row r="44" spans="2:16" x14ac:dyDescent="0.25">
      <c r="B44" s="545"/>
      <c r="C44" s="204"/>
      <c r="D44" s="204"/>
      <c r="E44" s="204"/>
      <c r="F44" s="204"/>
      <c r="G44" s="204"/>
      <c r="H44" s="204"/>
      <c r="I44" s="204"/>
      <c r="J44" s="204"/>
      <c r="K44" s="204"/>
      <c r="L44" s="204"/>
      <c r="M44" s="204"/>
      <c r="N44" s="204"/>
      <c r="O44" s="204"/>
      <c r="P44" s="546"/>
    </row>
    <row r="45" spans="2:16" x14ac:dyDescent="0.25">
      <c r="B45" s="545"/>
      <c r="C45" s="204"/>
      <c r="D45" s="204"/>
      <c r="E45" s="204"/>
      <c r="F45" s="204"/>
      <c r="G45" s="204"/>
      <c r="H45" s="204"/>
      <c r="I45" s="204"/>
      <c r="J45" s="204"/>
      <c r="K45" s="204"/>
      <c r="L45" s="204"/>
      <c r="M45" s="204"/>
      <c r="N45" s="204"/>
      <c r="O45" s="204"/>
      <c r="P45" s="546"/>
    </row>
    <row r="46" spans="2:16" x14ac:dyDescent="0.25">
      <c r="B46" s="545"/>
      <c r="C46" s="204"/>
      <c r="D46" s="204"/>
      <c r="E46" s="204"/>
      <c r="F46" s="204"/>
      <c r="G46" s="204"/>
      <c r="H46" s="204"/>
      <c r="I46" s="204"/>
      <c r="J46" s="204"/>
      <c r="K46" s="204"/>
      <c r="L46" s="204"/>
      <c r="M46" s="204"/>
      <c r="N46" s="204"/>
      <c r="O46" s="204"/>
      <c r="P46" s="546"/>
    </row>
    <row r="47" spans="2:16" x14ac:dyDescent="0.25">
      <c r="B47" s="545"/>
      <c r="C47" s="204"/>
      <c r="D47" s="204"/>
      <c r="E47" s="204"/>
      <c r="F47" s="204"/>
      <c r="G47" s="204"/>
      <c r="H47" s="204"/>
      <c r="I47" s="204"/>
      <c r="J47" s="204"/>
      <c r="K47" s="204"/>
      <c r="L47" s="204"/>
      <c r="M47" s="204"/>
      <c r="N47" s="204"/>
      <c r="O47" s="204"/>
      <c r="P47" s="546"/>
    </row>
    <row r="48" spans="2:16" x14ac:dyDescent="0.25">
      <c r="B48" s="545"/>
      <c r="C48" s="204"/>
      <c r="D48" s="204"/>
      <c r="E48" s="204"/>
      <c r="F48" s="204"/>
      <c r="G48" s="204"/>
      <c r="H48" s="204"/>
      <c r="I48" s="204"/>
      <c r="J48" s="204"/>
      <c r="K48" s="204"/>
      <c r="L48" s="204"/>
      <c r="M48" s="204"/>
      <c r="N48" s="204"/>
      <c r="O48" s="204"/>
      <c r="P48" s="546"/>
    </row>
    <row r="49" spans="2:16" x14ac:dyDescent="0.25">
      <c r="B49" s="545"/>
      <c r="C49" s="204"/>
      <c r="D49" s="204"/>
      <c r="E49" s="204"/>
      <c r="F49" s="204"/>
      <c r="G49" s="204"/>
      <c r="H49" s="204"/>
      <c r="I49" s="204"/>
      <c r="J49" s="204"/>
      <c r="K49" s="204"/>
      <c r="L49" s="204"/>
      <c r="M49" s="204"/>
      <c r="N49" s="204"/>
      <c r="O49" s="204"/>
      <c r="P49" s="546"/>
    </row>
    <row r="50" spans="2:16" x14ac:dyDescent="0.25">
      <c r="B50" s="545"/>
      <c r="C50" s="204"/>
      <c r="D50" s="204"/>
      <c r="E50" s="204"/>
      <c r="F50" s="204"/>
      <c r="G50" s="204"/>
      <c r="H50" s="204"/>
      <c r="I50" s="204"/>
      <c r="J50" s="204"/>
      <c r="K50" s="204"/>
      <c r="L50" s="204"/>
      <c r="M50" s="204"/>
      <c r="N50" s="204"/>
      <c r="O50" s="204"/>
      <c r="P50" s="546"/>
    </row>
    <row r="51" spans="2:16" x14ac:dyDescent="0.25">
      <c r="B51" s="545"/>
      <c r="C51" s="204"/>
      <c r="D51" s="204"/>
      <c r="E51" s="204"/>
      <c r="F51" s="204"/>
      <c r="G51" s="204"/>
      <c r="H51" s="204"/>
      <c r="I51" s="204"/>
      <c r="J51" s="204"/>
      <c r="K51" s="204"/>
      <c r="L51" s="204"/>
      <c r="M51" s="204"/>
      <c r="N51" s="204"/>
      <c r="O51" s="204"/>
      <c r="P51" s="546"/>
    </row>
    <row r="52" spans="2:16" x14ac:dyDescent="0.25">
      <c r="B52" s="545"/>
      <c r="C52" s="204"/>
      <c r="D52" s="204"/>
      <c r="E52" s="204"/>
      <c r="F52" s="204"/>
      <c r="G52" s="204"/>
      <c r="H52" s="204"/>
      <c r="I52" s="204"/>
      <c r="J52" s="204"/>
      <c r="K52" s="204"/>
      <c r="L52" s="204"/>
      <c r="M52" s="204"/>
      <c r="N52" s="204"/>
      <c r="O52" s="204"/>
      <c r="P52" s="546"/>
    </row>
    <row r="53" spans="2:16" x14ac:dyDescent="0.25">
      <c r="B53" s="545"/>
      <c r="C53" s="204"/>
      <c r="D53" s="204"/>
      <c r="E53" s="204"/>
      <c r="F53" s="204"/>
      <c r="G53" s="204"/>
      <c r="H53" s="204"/>
      <c r="I53" s="204"/>
      <c r="J53" s="204"/>
      <c r="K53" s="204"/>
      <c r="L53" s="204"/>
      <c r="M53" s="204"/>
      <c r="N53" s="204"/>
      <c r="O53" s="204"/>
      <c r="P53" s="546"/>
    </row>
    <row r="54" spans="2:16" x14ac:dyDescent="0.25">
      <c r="B54" s="545"/>
      <c r="C54" s="204"/>
      <c r="D54" s="204"/>
      <c r="E54" s="204"/>
      <c r="F54" s="204"/>
      <c r="G54" s="204"/>
      <c r="H54" s="204"/>
      <c r="I54" s="204"/>
      <c r="J54" s="204"/>
      <c r="K54" s="204"/>
      <c r="L54" s="204"/>
      <c r="M54" s="204"/>
      <c r="N54" s="204"/>
      <c r="O54" s="204"/>
      <c r="P54" s="546"/>
    </row>
    <row r="55" spans="2:16" x14ac:dyDescent="0.25">
      <c r="B55" s="545"/>
      <c r="C55" s="204"/>
      <c r="D55" s="204"/>
      <c r="E55" s="204"/>
      <c r="F55" s="204"/>
      <c r="G55" s="204"/>
      <c r="H55" s="204"/>
      <c r="I55" s="204"/>
      <c r="J55" s="204"/>
      <c r="K55" s="204"/>
      <c r="L55" s="204"/>
      <c r="M55" s="204"/>
      <c r="N55" s="204"/>
      <c r="O55" s="204"/>
      <c r="P55" s="546"/>
    </row>
    <row r="56" spans="2:16" x14ac:dyDescent="0.25">
      <c r="B56" s="545"/>
      <c r="C56" s="204"/>
      <c r="D56" s="204"/>
      <c r="E56" s="204"/>
      <c r="F56" s="204"/>
      <c r="G56" s="204"/>
      <c r="H56" s="204"/>
      <c r="I56" s="204"/>
      <c r="J56" s="204"/>
      <c r="K56" s="204"/>
      <c r="L56" s="204"/>
      <c r="M56" s="204"/>
      <c r="N56" s="204"/>
      <c r="O56" s="204"/>
      <c r="P56" s="546"/>
    </row>
    <row r="57" spans="2:16" x14ac:dyDescent="0.25">
      <c r="B57" s="545"/>
      <c r="C57" s="204"/>
      <c r="D57" s="204"/>
      <c r="E57" s="204"/>
      <c r="F57" s="204"/>
      <c r="G57" s="204"/>
      <c r="H57" s="204"/>
      <c r="I57" s="204"/>
      <c r="J57" s="204"/>
      <c r="K57" s="204"/>
      <c r="L57" s="204"/>
      <c r="M57" s="204"/>
      <c r="N57" s="204"/>
      <c r="O57" s="204"/>
      <c r="P57" s="546"/>
    </row>
    <row r="58" spans="2:16" x14ac:dyDescent="0.25">
      <c r="B58" s="545"/>
      <c r="C58" s="204"/>
      <c r="D58" s="204"/>
      <c r="E58" s="204"/>
      <c r="F58" s="204"/>
      <c r="G58" s="204"/>
      <c r="H58" s="204"/>
      <c r="I58" s="204"/>
      <c r="J58" s="204"/>
      <c r="K58" s="204"/>
      <c r="L58" s="204"/>
      <c r="M58" s="204"/>
      <c r="N58" s="204"/>
      <c r="O58" s="204"/>
      <c r="P58" s="546"/>
    </row>
    <row r="59" spans="2:16" x14ac:dyDescent="0.25">
      <c r="B59" s="545"/>
      <c r="C59" s="204"/>
      <c r="D59" s="204"/>
      <c r="E59" s="204"/>
      <c r="F59" s="204"/>
      <c r="G59" s="204"/>
      <c r="H59" s="204"/>
      <c r="I59" s="204"/>
      <c r="J59" s="204"/>
      <c r="K59" s="204"/>
      <c r="L59" s="204"/>
      <c r="M59" s="204"/>
      <c r="N59" s="204"/>
      <c r="O59" s="204"/>
      <c r="P59" s="546"/>
    </row>
    <row r="60" spans="2:16" x14ac:dyDescent="0.25">
      <c r="B60" s="545"/>
      <c r="C60" s="204"/>
      <c r="D60" s="204"/>
      <c r="E60" s="204"/>
      <c r="F60" s="204"/>
      <c r="G60" s="204"/>
      <c r="H60" s="204"/>
      <c r="I60" s="204"/>
      <c r="J60" s="204"/>
      <c r="K60" s="204"/>
      <c r="L60" s="204"/>
      <c r="M60" s="204"/>
      <c r="N60" s="204"/>
      <c r="O60" s="204"/>
      <c r="P60" s="546"/>
    </row>
    <row r="61" spans="2:16" x14ac:dyDescent="0.25">
      <c r="B61" s="545"/>
      <c r="C61" s="204"/>
      <c r="D61" s="204"/>
      <c r="E61" s="204"/>
      <c r="F61" s="204"/>
      <c r="G61" s="204"/>
      <c r="H61" s="204"/>
      <c r="I61" s="204"/>
      <c r="J61" s="204"/>
      <c r="K61" s="204"/>
      <c r="L61" s="204"/>
      <c r="M61" s="204"/>
      <c r="N61" s="204"/>
      <c r="O61" s="204"/>
      <c r="P61" s="546"/>
    </row>
    <row r="62" spans="2:16" x14ac:dyDescent="0.25">
      <c r="B62" s="545"/>
      <c r="C62" s="204"/>
      <c r="D62" s="204"/>
      <c r="E62" s="204"/>
      <c r="F62" s="204"/>
      <c r="G62" s="204"/>
      <c r="H62" s="204"/>
      <c r="I62" s="204"/>
      <c r="J62" s="204"/>
      <c r="K62" s="204"/>
      <c r="L62" s="204"/>
      <c r="M62" s="204"/>
      <c r="N62" s="204"/>
      <c r="O62" s="204"/>
      <c r="P62" s="546"/>
    </row>
    <row r="63" spans="2:16" x14ac:dyDescent="0.25">
      <c r="B63" s="545"/>
      <c r="C63" s="204"/>
      <c r="D63" s="204"/>
      <c r="E63" s="204"/>
      <c r="F63" s="204"/>
      <c r="G63" s="204"/>
      <c r="H63" s="204"/>
      <c r="I63" s="204"/>
      <c r="J63" s="204"/>
      <c r="K63" s="204"/>
      <c r="L63" s="204"/>
      <c r="M63" s="204"/>
      <c r="N63" s="204"/>
      <c r="O63" s="204"/>
      <c r="P63" s="546"/>
    </row>
    <row r="64" spans="2:16" x14ac:dyDescent="0.25">
      <c r="B64" s="545"/>
      <c r="C64" s="204"/>
      <c r="D64" s="204"/>
      <c r="E64" s="204"/>
      <c r="F64" s="204"/>
      <c r="G64" s="204"/>
      <c r="H64" s="204"/>
      <c r="I64" s="204"/>
      <c r="J64" s="204"/>
      <c r="K64" s="204"/>
      <c r="L64" s="204"/>
      <c r="M64" s="204"/>
      <c r="N64" s="204"/>
      <c r="O64" s="204"/>
      <c r="P64" s="546"/>
    </row>
    <row r="65" spans="2:16" x14ac:dyDescent="0.25">
      <c r="B65" s="545"/>
      <c r="C65" s="204"/>
      <c r="D65" s="204"/>
      <c r="E65" s="204"/>
      <c r="F65" s="204"/>
      <c r="G65" s="204"/>
      <c r="H65" s="204"/>
      <c r="I65" s="204"/>
      <c r="J65" s="204"/>
      <c r="K65" s="204"/>
      <c r="L65" s="204"/>
      <c r="M65" s="204"/>
      <c r="N65" s="204"/>
      <c r="O65" s="204"/>
      <c r="P65" s="546"/>
    </row>
    <row r="66" spans="2:16" x14ac:dyDescent="0.25">
      <c r="B66" s="545"/>
      <c r="C66" s="204"/>
      <c r="D66" s="204"/>
      <c r="E66" s="204"/>
      <c r="F66" s="204"/>
      <c r="G66" s="204"/>
      <c r="H66" s="204"/>
      <c r="I66" s="204"/>
      <c r="J66" s="204"/>
      <c r="K66" s="204"/>
      <c r="L66" s="204"/>
      <c r="M66" s="204"/>
      <c r="N66" s="204"/>
      <c r="O66" s="204"/>
      <c r="P66" s="546"/>
    </row>
    <row r="67" spans="2:16" x14ac:dyDescent="0.25">
      <c r="B67" s="545"/>
      <c r="C67" s="204"/>
      <c r="D67" s="204"/>
      <c r="E67" s="204"/>
      <c r="F67" s="204"/>
      <c r="G67" s="204"/>
      <c r="H67" s="204"/>
      <c r="I67" s="204"/>
      <c r="J67" s="204"/>
      <c r="K67" s="204"/>
      <c r="L67" s="204"/>
      <c r="M67" s="204"/>
      <c r="N67" s="204"/>
      <c r="O67" s="204"/>
      <c r="P67" s="546"/>
    </row>
    <row r="68" spans="2:16" x14ac:dyDescent="0.25">
      <c r="B68" s="545"/>
      <c r="C68" s="204"/>
      <c r="D68" s="204"/>
      <c r="E68" s="204"/>
      <c r="F68" s="204"/>
      <c r="G68" s="204"/>
      <c r="H68" s="204"/>
      <c r="I68" s="204"/>
      <c r="J68" s="204"/>
      <c r="K68" s="204"/>
      <c r="L68" s="204"/>
      <c r="M68" s="204"/>
      <c r="N68" s="204"/>
      <c r="O68" s="204"/>
      <c r="P68" s="546"/>
    </row>
    <row r="69" spans="2:16" x14ac:dyDescent="0.25">
      <c r="B69" s="545"/>
      <c r="C69" s="204"/>
      <c r="D69" s="204"/>
      <c r="E69" s="204"/>
      <c r="F69" s="204"/>
      <c r="G69" s="204"/>
      <c r="H69" s="204"/>
      <c r="I69" s="204"/>
      <c r="J69" s="204"/>
      <c r="K69" s="204"/>
      <c r="L69" s="204"/>
      <c r="M69" s="204"/>
      <c r="N69" s="204"/>
      <c r="O69" s="204"/>
      <c r="P69" s="546"/>
    </row>
    <row r="70" spans="2:16" x14ac:dyDescent="0.25">
      <c r="B70" s="545"/>
      <c r="C70" s="204"/>
      <c r="D70" s="204"/>
      <c r="E70" s="204"/>
      <c r="F70" s="204"/>
      <c r="G70" s="204"/>
      <c r="H70" s="204"/>
      <c r="I70" s="204"/>
      <c r="J70" s="204"/>
      <c r="K70" s="204"/>
      <c r="L70" s="204"/>
      <c r="M70" s="204"/>
      <c r="N70" s="204"/>
      <c r="O70" s="204"/>
      <c r="P70" s="546"/>
    </row>
    <row r="71" spans="2:16" x14ac:dyDescent="0.25">
      <c r="B71" s="545"/>
      <c r="C71" s="204"/>
      <c r="D71" s="204"/>
      <c r="E71" s="204"/>
      <c r="F71" s="204"/>
      <c r="G71" s="204"/>
      <c r="H71" s="204"/>
      <c r="I71" s="204"/>
      <c r="J71" s="204"/>
      <c r="K71" s="204"/>
      <c r="L71" s="204"/>
      <c r="M71" s="204"/>
      <c r="N71" s="204"/>
      <c r="O71" s="204"/>
      <c r="P71" s="546"/>
    </row>
    <row r="72" spans="2:16" x14ac:dyDescent="0.25">
      <c r="B72" s="545"/>
      <c r="C72" s="204"/>
      <c r="D72" s="204"/>
      <c r="E72" s="204"/>
      <c r="F72" s="204"/>
      <c r="G72" s="204"/>
      <c r="H72" s="204"/>
      <c r="I72" s="204"/>
      <c r="J72" s="204"/>
      <c r="K72" s="204"/>
      <c r="L72" s="204"/>
      <c r="M72" s="204"/>
      <c r="N72" s="204"/>
      <c r="O72" s="204"/>
      <c r="P72" s="546"/>
    </row>
    <row r="73" spans="2:16" ht="36" x14ac:dyDescent="0.25">
      <c r="B73" s="547"/>
      <c r="C73" s="541"/>
      <c r="D73" s="541"/>
      <c r="E73" s="541"/>
      <c r="F73" s="541"/>
      <c r="G73" s="541"/>
      <c r="H73" s="541"/>
      <c r="I73" s="541"/>
      <c r="J73" s="541"/>
      <c r="K73" s="541"/>
      <c r="L73" s="541"/>
      <c r="M73" s="541"/>
      <c r="N73" s="541"/>
      <c r="O73" s="541"/>
      <c r="P73" s="548"/>
    </row>
    <row r="74" spans="2:16" ht="15.75" thickBot="1" x14ac:dyDescent="0.3">
      <c r="B74" s="549"/>
      <c r="C74" s="550"/>
      <c r="D74" s="550"/>
      <c r="E74" s="550"/>
      <c r="F74" s="550"/>
      <c r="G74" s="550"/>
      <c r="H74" s="550"/>
      <c r="I74" s="550"/>
      <c r="J74" s="550"/>
      <c r="K74" s="550"/>
      <c r="L74" s="550"/>
      <c r="M74" s="550"/>
      <c r="N74" s="550"/>
      <c r="O74" s="550"/>
      <c r="P74" s="551"/>
    </row>
  </sheetData>
  <mergeCells count="1">
    <mergeCell ref="B4:D4"/>
  </mergeCells>
  <pageMargins left="0.7" right="0.7" top="0.75" bottom="0.75" header="0.3" footer="0.3"/>
  <pageSetup paperSize="9" scale="6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C88"/>
  <sheetViews>
    <sheetView showZeros="0" tabSelected="1" zoomScale="85" zoomScaleNormal="85" workbookViewId="0">
      <selection activeCell="U18" sqref="U18"/>
    </sheetView>
  </sheetViews>
  <sheetFormatPr defaultColWidth="9.140625" defaultRowHeight="15" x14ac:dyDescent="0.25"/>
  <cols>
    <col min="1" max="1" width="3.140625" style="102" customWidth="1"/>
    <col min="2" max="2" width="1.7109375" style="102" customWidth="1"/>
    <col min="3" max="5" width="10.85546875" style="38" customWidth="1"/>
    <col min="6" max="6" width="9.85546875" style="38" customWidth="1"/>
    <col min="7" max="7" width="12" style="102" customWidth="1"/>
    <col min="8" max="8" width="10.85546875" style="38" customWidth="1"/>
    <col min="9" max="9" width="11.5703125" style="38" customWidth="1"/>
    <col min="10" max="10" width="11.5703125" style="102" customWidth="1"/>
    <col min="11" max="12" width="11.5703125" style="38" customWidth="1"/>
    <col min="13" max="13" width="9" style="38" customWidth="1"/>
    <col min="14" max="14" width="14" style="38" customWidth="1"/>
    <col min="15" max="15" width="8.85546875" style="38" customWidth="1"/>
    <col min="16" max="18" width="10.85546875" style="38" customWidth="1"/>
    <col min="19" max="19" width="3.42578125" style="38" customWidth="1"/>
    <col min="20" max="20" width="24.28515625" style="38" customWidth="1"/>
    <col min="21" max="21" width="19.28515625" style="38" customWidth="1"/>
    <col min="22" max="22" width="12.140625" style="38" bestFit="1" customWidth="1"/>
    <col min="23" max="23" width="8.85546875" style="38" bestFit="1" customWidth="1"/>
    <col min="24" max="24" width="8.5703125" style="92" bestFit="1" customWidth="1"/>
    <col min="25" max="25" width="7.28515625" style="92" bestFit="1" customWidth="1"/>
    <col min="26" max="27" width="8.140625" style="92" bestFit="1" customWidth="1"/>
    <col min="28" max="28" width="11" style="92" customWidth="1"/>
    <col min="29" max="36" width="9.140625" style="92"/>
    <col min="37" max="42" width="17.85546875" style="92" customWidth="1"/>
    <col min="43" max="43" width="10.5703125" style="92" customWidth="1"/>
    <col min="44" max="45" width="17.85546875" style="92" customWidth="1"/>
    <col min="46" max="46" width="18.28515625" style="92" customWidth="1"/>
    <col min="47" max="47" width="19.42578125" style="92" customWidth="1"/>
    <col min="48" max="16384" width="9.140625" style="38"/>
  </cols>
  <sheetData>
    <row r="1" spans="2:55" s="102" customFormat="1" ht="15.75" thickBot="1" x14ac:dyDescent="0.3"/>
    <row r="2" spans="2:55" s="102" customFormat="1" ht="6.75" customHeight="1" x14ac:dyDescent="0.25">
      <c r="B2" s="566"/>
      <c r="C2" s="567"/>
      <c r="D2" s="567"/>
      <c r="E2" s="567"/>
      <c r="F2" s="567"/>
      <c r="G2" s="567"/>
      <c r="H2" s="567"/>
      <c r="I2" s="567"/>
      <c r="J2" s="567"/>
      <c r="K2" s="567"/>
      <c r="L2" s="567"/>
      <c r="M2" s="567"/>
      <c r="N2" s="567"/>
      <c r="O2" s="567"/>
      <c r="P2" s="567"/>
      <c r="Q2" s="567"/>
      <c r="R2" s="567"/>
      <c r="S2" s="568"/>
    </row>
    <row r="3" spans="2:55" s="1" customFormat="1" ht="36" x14ac:dyDescent="0.25">
      <c r="B3" s="569"/>
      <c r="C3" s="797"/>
      <c r="D3" s="797"/>
      <c r="E3" s="797"/>
      <c r="F3" s="797"/>
      <c r="G3" s="797"/>
      <c r="H3" s="797"/>
      <c r="I3" s="797"/>
      <c r="J3" s="797"/>
      <c r="K3" s="797"/>
      <c r="L3" s="797"/>
      <c r="M3" s="797"/>
      <c r="N3" s="797"/>
      <c r="O3" s="797"/>
      <c r="P3" s="797"/>
      <c r="Q3" s="797"/>
      <c r="R3" s="797"/>
      <c r="S3" s="570"/>
      <c r="BB3" s="80"/>
      <c r="BC3" s="80"/>
    </row>
    <row r="4" spans="2:55" s="1" customFormat="1" ht="33" customHeight="1" x14ac:dyDescent="0.25">
      <c r="B4" s="569"/>
      <c r="C4" s="795" t="s">
        <v>617</v>
      </c>
      <c r="D4" s="795"/>
      <c r="E4" s="795"/>
      <c r="F4" s="795"/>
      <c r="G4" s="795"/>
      <c r="H4" s="795"/>
      <c r="I4" s="795"/>
      <c r="J4" s="795"/>
      <c r="K4" s="795"/>
      <c r="L4" s="795"/>
      <c r="M4" s="555"/>
      <c r="N4" s="555"/>
      <c r="O4" s="555"/>
      <c r="P4" s="555"/>
      <c r="Q4" s="555"/>
      <c r="R4" s="555"/>
      <c r="S4" s="570"/>
      <c r="X4" s="92"/>
      <c r="Y4" s="92"/>
      <c r="Z4" s="92"/>
      <c r="AA4" s="92"/>
      <c r="AB4" s="92"/>
      <c r="AC4" s="92"/>
      <c r="AD4" s="92"/>
      <c r="AE4" s="92"/>
      <c r="AF4" s="92"/>
      <c r="AG4" s="92"/>
      <c r="AH4" s="92"/>
      <c r="AI4" s="92"/>
      <c r="AJ4" s="92"/>
      <c r="AK4" s="92"/>
      <c r="AL4" s="92"/>
      <c r="AM4" s="92"/>
      <c r="AN4" s="92"/>
      <c r="AO4" s="92"/>
      <c r="AP4" s="92"/>
      <c r="AQ4" s="92"/>
      <c r="AR4" s="92"/>
      <c r="BB4" s="80"/>
      <c r="BC4" s="80"/>
    </row>
    <row r="5" spans="2:55" s="21" customFormat="1" ht="18" customHeight="1" x14ac:dyDescent="0.25">
      <c r="B5" s="569"/>
      <c r="C5" s="796">
        <f>Report_Date</f>
        <v>42339</v>
      </c>
      <c r="D5" s="796"/>
      <c r="E5" s="796"/>
      <c r="F5" s="796"/>
      <c r="G5" s="796"/>
      <c r="H5" s="796"/>
      <c r="I5" s="796"/>
      <c r="J5" s="796"/>
      <c r="K5" s="796"/>
      <c r="L5" s="796"/>
      <c r="M5" s="555"/>
      <c r="N5" s="555"/>
      <c r="O5" s="555"/>
      <c r="P5" s="555"/>
      <c r="Q5" s="555"/>
      <c r="R5" s="555"/>
      <c r="S5" s="570"/>
      <c r="T5" s="1"/>
      <c r="Y5" s="92"/>
      <c r="Z5" s="92"/>
      <c r="AA5" s="92"/>
      <c r="AB5" s="92"/>
      <c r="AC5" s="92"/>
      <c r="AD5" s="92"/>
      <c r="AE5" s="92"/>
      <c r="AF5" s="92"/>
      <c r="AG5" s="92"/>
      <c r="AH5" s="92"/>
      <c r="AI5" s="92"/>
      <c r="AJ5" s="92"/>
      <c r="AK5" s="92"/>
      <c r="AL5" s="92"/>
      <c r="AM5" s="92"/>
      <c r="AN5" s="92"/>
      <c r="AO5" s="92"/>
      <c r="AP5" s="92"/>
      <c r="AQ5" s="92"/>
      <c r="AR5" s="92"/>
      <c r="BB5" s="81"/>
      <c r="BC5" s="81"/>
    </row>
    <row r="6" spans="2:55" ht="36" x14ac:dyDescent="0.25">
      <c r="B6" s="68"/>
      <c r="C6" s="55"/>
      <c r="D6" s="55"/>
      <c r="E6" s="55"/>
      <c r="F6" s="55"/>
      <c r="G6" s="55"/>
      <c r="H6" s="55"/>
      <c r="I6" s="55"/>
      <c r="J6" s="55"/>
      <c r="K6" s="55"/>
      <c r="L6" s="55"/>
      <c r="M6" s="55"/>
      <c r="N6" s="55"/>
      <c r="O6" s="55"/>
      <c r="P6" s="55"/>
      <c r="Q6" s="55"/>
      <c r="R6" s="55"/>
      <c r="S6" s="571"/>
      <c r="T6" s="55"/>
      <c r="U6" s="107"/>
      <c r="V6" s="107"/>
      <c r="W6" s="107"/>
      <c r="X6" s="107"/>
      <c r="Y6" s="107"/>
      <c r="Z6" s="107"/>
      <c r="AA6" s="107"/>
      <c r="AB6" s="107"/>
      <c r="AC6" s="107"/>
      <c r="AD6" s="107"/>
      <c r="AE6" s="107"/>
      <c r="AF6" s="107"/>
      <c r="AG6" s="107"/>
      <c r="AH6" s="107"/>
      <c r="AK6" s="423" t="s">
        <v>1</v>
      </c>
      <c r="AL6" s="423" t="s">
        <v>607</v>
      </c>
      <c r="AM6" s="423" t="s">
        <v>610</v>
      </c>
      <c r="AN6" s="423" t="s">
        <v>609</v>
      </c>
      <c r="AO6" s="423" t="s">
        <v>611</v>
      </c>
      <c r="AP6" s="40" t="s">
        <v>955</v>
      </c>
      <c r="AU6" s="38"/>
    </row>
    <row r="7" spans="2:55" x14ac:dyDescent="0.25">
      <c r="B7" s="68"/>
      <c r="C7" s="55"/>
      <c r="D7" s="55"/>
      <c r="E7" s="55"/>
      <c r="F7" s="55"/>
      <c r="G7" s="55"/>
      <c r="H7" s="55"/>
      <c r="I7" s="55"/>
      <c r="J7" s="55"/>
      <c r="K7" s="55"/>
      <c r="L7" s="55"/>
      <c r="M7" s="55"/>
      <c r="N7" s="55"/>
      <c r="O7" s="55"/>
      <c r="P7" s="55"/>
      <c r="Q7" s="55"/>
      <c r="R7" s="55"/>
      <c r="S7" s="571"/>
      <c r="T7" s="1"/>
      <c r="AK7" s="400" t="s">
        <v>17</v>
      </c>
      <c r="AL7" s="399">
        <f>SUMIFS(Camp_List[Total],Camp_List[TOWNSHIP_NAME],$AK7,Camp_List[Total],"&gt;0",Camp_List[Total],"&lt;=1000")</f>
        <v>327</v>
      </c>
      <c r="AM7" s="399">
        <f>SUMIFS(Camp_List[Total],Camp_List[TOWNSHIP_NAME],$AK7,Camp_List[Total],"&gt;1000",Camp_List[Total],"&lt;=5000")</f>
        <v>1274</v>
      </c>
      <c r="AN7" s="399">
        <f>SUMIFS(Camp_List[Total],Camp_List[TOWNSHIP_NAME],$AK7,Camp_List[Total],"&gt;5000",Camp_List[Total],"&lt;=10000")</f>
        <v>0</v>
      </c>
      <c r="AO7" s="399">
        <f>SUMIFS(Camp_List[Total],Camp_List[TOWNSHIP_NAME],$AK7,Camp_List[Total],"&gt;10000",Camp_List[Total],"&lt;=100000")</f>
        <v>0</v>
      </c>
      <c r="AP7" s="399">
        <f>SUMIFS(Camp_List[Total],Camp_List[TOWNSHIP_NAME],$AK7,Camp_List[Total],"",Camp_List[Status],"open")</f>
        <v>0</v>
      </c>
      <c r="AU7" s="38"/>
    </row>
    <row r="8" spans="2:55" ht="9.75" customHeight="1" x14ac:dyDescent="0.25">
      <c r="B8" s="68"/>
      <c r="C8" s="55"/>
      <c r="D8" s="55"/>
      <c r="E8" s="55"/>
      <c r="F8" s="55"/>
      <c r="G8" s="55"/>
      <c r="H8" s="55"/>
      <c r="I8" s="55"/>
      <c r="J8" s="55"/>
      <c r="K8" s="55"/>
      <c r="L8" s="55"/>
      <c r="M8" s="55"/>
      <c r="N8" s="55"/>
      <c r="O8" s="55"/>
      <c r="P8" s="55"/>
      <c r="Q8" s="55"/>
      <c r="R8" s="55"/>
      <c r="S8" s="571"/>
      <c r="T8" s="1"/>
      <c r="AK8" s="400" t="s">
        <v>15</v>
      </c>
      <c r="AL8" s="399">
        <f>SUMIFS(Camp_List[Total],Camp_List[TOWNSHIP_NAME],$AK8,Camp_List[Total],"&gt;0",Camp_List[Total],"&lt;=1000")</f>
        <v>3982</v>
      </c>
      <c r="AM8" s="399">
        <f>SUMIFS(Camp_List[Total],Camp_List[TOWNSHIP_NAME],$AK8,Camp_List[Total],"&gt;1000",Camp_List[Total],"&lt;=5000")</f>
        <v>2530</v>
      </c>
      <c r="AN8" s="399">
        <f>SUMIFS(Camp_List[Total],Camp_List[TOWNSHIP_NAME],$AK8,Camp_List[Total],"&gt;5000",Camp_List[Total],"&lt;=10000")</f>
        <v>0</v>
      </c>
      <c r="AO8" s="399">
        <f>SUMIFS(Camp_List[Total],Camp_List[TOWNSHIP_NAME],$AK8,Camp_List[Total],"&gt;10000",Camp_List[Total],"&lt;=100000")</f>
        <v>0</v>
      </c>
      <c r="AP8" s="399">
        <f>SUMIFS(Camp_List[Total],Camp_List[TOWNSHIP_NAME],$AK8,Camp_List[Total],"",Camp_List[Status],"open")</f>
        <v>0</v>
      </c>
      <c r="AU8" s="38"/>
    </row>
    <row r="9" spans="2:55" ht="12.75" customHeight="1" x14ac:dyDescent="0.25">
      <c r="B9" s="68"/>
      <c r="C9" s="55"/>
      <c r="D9" s="55"/>
      <c r="E9" s="55"/>
      <c r="F9" s="55"/>
      <c r="G9" s="55"/>
      <c r="H9" s="55"/>
      <c r="I9" s="55"/>
      <c r="J9" s="55"/>
      <c r="K9" s="55"/>
      <c r="L9" s="55"/>
      <c r="M9" s="55"/>
      <c r="N9" s="55"/>
      <c r="O9" s="55"/>
      <c r="P9" s="55"/>
      <c r="Q9" s="55"/>
      <c r="R9" s="55"/>
      <c r="S9" s="571"/>
      <c r="T9" s="1"/>
      <c r="AK9" s="400" t="s">
        <v>20</v>
      </c>
      <c r="AL9" s="399">
        <f>SUMIFS(Camp_List[Total],Camp_List[TOWNSHIP_NAME],$AK9,Camp_List[Total],"&gt;0",Camp_List[Total],"&lt;=1000")</f>
        <v>1400</v>
      </c>
      <c r="AM9" s="399">
        <f>SUMIFS(Camp_List[Total],Camp_List[TOWNSHIP_NAME],$AK9,Camp_List[Total],"&gt;1000",Camp_List[Total],"&lt;=5000")</f>
        <v>0</v>
      </c>
      <c r="AN9" s="399">
        <f>SUMIFS(Camp_List[Total],Camp_List[TOWNSHIP_NAME],$AK9,Camp_List[Total],"&gt;5000",Camp_List[Total],"&lt;=10000")</f>
        <v>0</v>
      </c>
      <c r="AO9" s="399">
        <f>SUMIFS(Camp_List[Total],Camp_List[TOWNSHIP_NAME],$AK9,Camp_List[Total],"&gt;10000",Camp_List[Total],"&lt;=100000")</f>
        <v>0</v>
      </c>
      <c r="AP9" s="399">
        <f>SUMIFS(Camp_List[Total],Camp_List[TOWNSHIP_NAME],$AK9,Camp_List[Total],"",Camp_List[Status],"open")</f>
        <v>0</v>
      </c>
      <c r="AU9" s="38"/>
    </row>
    <row r="10" spans="2:55" ht="18.75" customHeight="1" x14ac:dyDescent="0.25">
      <c r="B10" s="68"/>
      <c r="C10" s="55"/>
      <c r="D10" s="55"/>
      <c r="E10" s="55"/>
      <c r="F10" s="55"/>
      <c r="G10" s="55"/>
      <c r="H10" s="55"/>
      <c r="I10" s="55"/>
      <c r="J10" s="55"/>
      <c r="K10" s="55"/>
      <c r="L10" s="55"/>
      <c r="M10" s="55"/>
      <c r="N10" s="55"/>
      <c r="O10" s="55"/>
      <c r="P10" s="55"/>
      <c r="Q10" s="55"/>
      <c r="R10" s="55"/>
      <c r="S10" s="571"/>
      <c r="T10" s="1"/>
      <c r="AK10" s="400" t="s">
        <v>915</v>
      </c>
      <c r="AL10" s="399">
        <f>SUMIFS(Camp_List[Total],Camp_List[TOWNSHIP_NAME],$AK10,Camp_List[Total],"&gt;0",Camp_List[Total],"&lt;=1000")</f>
        <v>198</v>
      </c>
      <c r="AM10" s="399">
        <f>SUMIFS(Camp_List[Total],Camp_List[TOWNSHIP_NAME],$AK10,Camp_List[Total],"&gt;1000",Camp_List[Total],"&lt;=5000")</f>
        <v>2815</v>
      </c>
      <c r="AN10" s="399">
        <f>SUMIFS(Camp_List[Total],Camp_List[TOWNSHIP_NAME],$AK10,Camp_List[Total],"&gt;5000",Camp_List[Total],"&lt;=10000")</f>
        <v>0</v>
      </c>
      <c r="AO10" s="399">
        <f>SUMIFS(Camp_List[Total],Camp_List[TOWNSHIP_NAME],$AK10,Camp_List[Total],"&gt;10000",Camp_List[Total],"&lt;=100000")</f>
        <v>0</v>
      </c>
      <c r="AP10" s="399">
        <f>SUMIFS(Camp_List[Total],Camp_List[TOWNSHIP_NAME],$AK10,Camp_List[Total],"",Camp_List[Status],"open")</f>
        <v>0</v>
      </c>
      <c r="AU10" s="38"/>
    </row>
    <row r="11" spans="2:55" ht="29.25" customHeight="1" x14ac:dyDescent="0.25">
      <c r="B11" s="68"/>
      <c r="C11" s="55"/>
      <c r="D11" s="55"/>
      <c r="E11" s="55"/>
      <c r="F11" s="55"/>
      <c r="G11" s="55"/>
      <c r="H11" s="55"/>
      <c r="I11" s="103" t="s">
        <v>744</v>
      </c>
      <c r="J11" s="676"/>
      <c r="K11" s="561"/>
      <c r="L11" s="562"/>
      <c r="M11" s="562"/>
      <c r="N11" s="562"/>
      <c r="O11" s="55"/>
      <c r="P11" s="55"/>
      <c r="Q11" s="55"/>
      <c r="R11" s="55"/>
      <c r="S11" s="572"/>
      <c r="T11" s="1"/>
      <c r="AK11" s="400" t="s">
        <v>11</v>
      </c>
      <c r="AL11" s="399">
        <f>SUMIFS(Camp_List[Total],Camp_List[TOWNSHIP_NAME],$AK11,Camp_List[Total],"&gt;0",Camp_List[Total],"&lt;=1000")</f>
        <v>1134</v>
      </c>
      <c r="AM11" s="399">
        <f>SUMIFS(Camp_List[Total],Camp_List[TOWNSHIP_NAME],$AK11,Camp_List[Total],"&gt;1000",Camp_List[Total],"&lt;=5000")</f>
        <v>4504</v>
      </c>
      <c r="AN11" s="399">
        <f>SUMIFS(Camp_List[Total],Camp_List[TOWNSHIP_NAME],$AK11,Camp_List[Total],"&gt;5000",Camp_List[Total],"&lt;=10000")</f>
        <v>0</v>
      </c>
      <c r="AO11" s="399">
        <f>SUMIFS(Camp_List[Total],Camp_List[TOWNSHIP_NAME],$AK11,Camp_List[Total],"&gt;10000",Camp_List[Total],"&lt;=100000")</f>
        <v>0</v>
      </c>
      <c r="AP11" s="399">
        <f>SUMIFS(Camp_List[Total],Camp_List[TOWNSHIP_NAME],$AK11,Camp_List[Total],"",Camp_List[Status],"open")</f>
        <v>0</v>
      </c>
      <c r="AU11" s="38"/>
    </row>
    <row r="12" spans="2:55" x14ac:dyDescent="0.25">
      <c r="B12" s="68"/>
      <c r="C12" s="55"/>
      <c r="D12" s="55"/>
      <c r="E12" s="55"/>
      <c r="F12" s="55"/>
      <c r="G12" s="55"/>
      <c r="H12" s="55"/>
      <c r="I12" s="103"/>
      <c r="J12" s="105" t="s">
        <v>745</v>
      </c>
      <c r="K12" s="174" t="s">
        <v>746</v>
      </c>
      <c r="L12" s="175" t="s">
        <v>747</v>
      </c>
      <c r="M12" s="106" t="s">
        <v>748</v>
      </c>
      <c r="N12" s="111" t="s">
        <v>618</v>
      </c>
      <c r="O12" s="55"/>
      <c r="P12" s="55"/>
      <c r="Q12" s="55"/>
      <c r="R12" s="55"/>
      <c r="S12" s="573"/>
      <c r="AK12" s="400" t="s">
        <v>12</v>
      </c>
      <c r="AL12" s="399">
        <f>SUMIFS(Camp_List[Total],Camp_List[TOWNSHIP_NAME],$AK12,Camp_List[Total],"&gt;0",Camp_List[Total],"&lt;=1000")</f>
        <v>195</v>
      </c>
      <c r="AM12" s="399">
        <f>SUMIFS(Camp_List[Total],Camp_List[TOWNSHIP_NAME],$AK12,Camp_List[Total],"&gt;1000",Camp_List[Total],"&lt;=5000")</f>
        <v>3631</v>
      </c>
      <c r="AN12" s="399">
        <f>SUMIFS(Camp_List[Total],Camp_List[TOWNSHIP_NAME],$AK12,Camp_List[Total],"&gt;5000",Camp_List[Total],"&lt;=10000")</f>
        <v>0</v>
      </c>
      <c r="AO12" s="399">
        <f>SUMIFS(Camp_List[Total],Camp_List[TOWNSHIP_NAME],$AK12,Camp_List[Total],"&gt;10000",Camp_List[Total],"&lt;=100000")</f>
        <v>0</v>
      </c>
      <c r="AP12" s="399">
        <f>SUMIFS(Camp_List[Total],Camp_List[TOWNSHIP_NAME],$AK12,Camp_List[Total],"",Camp_List[Status],"open")</f>
        <v>0</v>
      </c>
      <c r="AU12" s="38"/>
    </row>
    <row r="13" spans="2:55" ht="15.75" customHeight="1" x14ac:dyDescent="0.25">
      <c r="B13" s="68"/>
      <c r="C13" s="55"/>
      <c r="D13" s="55"/>
      <c r="E13" s="55"/>
      <c r="F13" s="55"/>
      <c r="G13" s="55"/>
      <c r="H13" s="55"/>
      <c r="I13" s="103" t="s">
        <v>793</v>
      </c>
      <c r="J13" s="514">
        <f>AL34</f>
        <v>36</v>
      </c>
      <c r="K13" s="514">
        <f>AM34</f>
        <v>22</v>
      </c>
      <c r="L13" s="514">
        <f>AN34</f>
        <v>5</v>
      </c>
      <c r="M13" s="514">
        <f>AO34</f>
        <v>4</v>
      </c>
      <c r="N13" s="514">
        <f>AP34</f>
        <v>0</v>
      </c>
      <c r="O13" s="55"/>
      <c r="P13" s="55"/>
      <c r="Q13" s="55"/>
      <c r="R13" s="55"/>
      <c r="S13" s="573"/>
      <c r="X13" s="102"/>
      <c r="AK13" s="400" t="s">
        <v>14</v>
      </c>
      <c r="AL13" s="399">
        <f>SUMIFS(Camp_List[Total],Camp_List[TOWNSHIP_NAME],$AK13,Camp_List[Total],"&gt;0",Camp_List[Total],"&lt;=1000")</f>
        <v>122</v>
      </c>
      <c r="AM13" s="399">
        <f>SUMIFS(Camp_List[Total],Camp_List[TOWNSHIP_NAME],$AK13,Camp_List[Total],"&gt;1000",Camp_List[Total],"&lt;=5000")</f>
        <v>6886</v>
      </c>
      <c r="AN13" s="399">
        <f>SUMIFS(Camp_List[Total],Camp_List[TOWNSHIP_NAME],$AK13,Camp_List[Total],"&gt;5000",Camp_List[Total],"&lt;=10000")</f>
        <v>12537</v>
      </c>
      <c r="AO13" s="399">
        <f>SUMIFS(Camp_List[Total],Camp_List[TOWNSHIP_NAME],$AK13,Camp_List[Total],"&gt;10000",Camp_List[Total],"&lt;=100000")</f>
        <v>0</v>
      </c>
      <c r="AP13" s="399">
        <f>SUMIFS(Camp_List[Total],Camp_List[TOWNSHIP_NAME],$AK13,Camp_List[Total],"",Camp_List[Status],"open")</f>
        <v>0</v>
      </c>
      <c r="AU13" s="38"/>
    </row>
    <row r="14" spans="2:55" x14ac:dyDescent="0.25">
      <c r="B14" s="68"/>
      <c r="C14" s="55"/>
      <c r="D14" s="55"/>
      <c r="E14" s="55"/>
      <c r="F14" s="55"/>
      <c r="G14" s="55"/>
      <c r="H14" s="55"/>
      <c r="I14" s="103" t="s">
        <v>237</v>
      </c>
      <c r="J14" s="514">
        <f>AL17</f>
        <v>10427</v>
      </c>
      <c r="K14" s="514">
        <f>AM17</f>
        <v>51615</v>
      </c>
      <c r="L14" s="514">
        <f>AN17</f>
        <v>33299</v>
      </c>
      <c r="M14" s="514">
        <f>AO17</f>
        <v>49721</v>
      </c>
      <c r="N14" s="514">
        <f>AP17</f>
        <v>0</v>
      </c>
      <c r="O14" s="55"/>
      <c r="P14" s="55"/>
      <c r="Q14" s="55"/>
      <c r="R14" s="55"/>
      <c r="S14" s="571"/>
      <c r="T14" s="191"/>
      <c r="U14" s="190"/>
      <c r="V14" s="190"/>
      <c r="X14" s="102"/>
      <c r="AK14" s="400" t="s">
        <v>18</v>
      </c>
      <c r="AL14" s="399">
        <f>SUMIFS(Camp_List[Total],Camp_List[TOWNSHIP_NAME],$AK14,Camp_List[Total],"&gt;0",Camp_List[Total],"&lt;=1000")</f>
        <v>264</v>
      </c>
      <c r="AM14" s="399">
        <f>SUMIFS(Camp_List[Total],Camp_List[TOWNSHIP_NAME],$AK14,Camp_List[Total],"&gt;1000",Camp_List[Total],"&lt;=5000")</f>
        <v>0</v>
      </c>
      <c r="AN14" s="399">
        <f>SUMIFS(Camp_List[Total],Camp_List[TOWNSHIP_NAME],$AK14,Camp_List[Total],"&gt;5000",Camp_List[Total],"&lt;=10000")</f>
        <v>0</v>
      </c>
      <c r="AO14" s="399">
        <f>SUMIFS(Camp_List[Total],Camp_List[TOWNSHIP_NAME],$AK14,Camp_List[Total],"&gt;10000",Camp_List[Total],"&lt;=100000")</f>
        <v>0</v>
      </c>
      <c r="AP14" s="399">
        <f>SUMIFS(Camp_List[Total],Camp_List[TOWNSHIP_NAME],$AK14,Camp_List[Total],"",Camp_List[Status],"open")</f>
        <v>0</v>
      </c>
      <c r="AU14" s="38"/>
    </row>
    <row r="15" spans="2:55" hidden="1" x14ac:dyDescent="0.25">
      <c r="B15" s="68"/>
      <c r="C15" s="55"/>
      <c r="D15" s="55"/>
      <c r="E15" s="55"/>
      <c r="F15" s="55"/>
      <c r="G15" s="55"/>
      <c r="H15" s="55"/>
      <c r="I15" s="55"/>
      <c r="J15" s="55"/>
      <c r="K15" s="55"/>
      <c r="L15" s="55"/>
      <c r="M15" s="55"/>
      <c r="N15" s="55"/>
      <c r="O15" s="55"/>
      <c r="P15" s="55"/>
      <c r="Q15" s="55"/>
      <c r="R15" s="55"/>
      <c r="S15" s="571"/>
      <c r="T15" s="28"/>
      <c r="U15" s="28"/>
      <c r="V15" s="28"/>
      <c r="X15" s="102"/>
      <c r="AK15" s="400" t="s">
        <v>16</v>
      </c>
      <c r="AL15" s="399">
        <f>SUMIFS(Camp_List[Total],Camp_List[TOWNSHIP_NAME],$AK15,Camp_List[Total],"&gt;0",Camp_List[Total],"&lt;=1000")</f>
        <v>1450</v>
      </c>
      <c r="AM15" s="399">
        <f>SUMIFS(Camp_List[Total],Camp_List[TOWNSHIP_NAME],$AK15,Camp_List[Total],"&gt;1000",Camp_List[Total],"&lt;=5000")</f>
        <v>2605</v>
      </c>
      <c r="AN15" s="399">
        <f>SUMIFS(Camp_List[Total],Camp_List[TOWNSHIP_NAME],$AK15,Camp_List[Total],"&gt;5000",Camp_List[Total],"&lt;=10000")</f>
        <v>0</v>
      </c>
      <c r="AO15" s="399">
        <f>SUMIFS(Camp_List[Total],Camp_List[TOWNSHIP_NAME],$AK15,Camp_List[Total],"&gt;10000",Camp_List[Total],"&lt;=100000")</f>
        <v>0</v>
      </c>
      <c r="AP15" s="399">
        <f>SUMIFS(Camp_List[Total],Camp_List[TOWNSHIP_NAME],$AK15,Camp_List[Total],"",Camp_List[Status],"open")</f>
        <v>0</v>
      </c>
      <c r="AU15" s="38"/>
    </row>
    <row r="16" spans="2:55" x14ac:dyDescent="0.25">
      <c r="B16" s="68"/>
      <c r="C16" s="55"/>
      <c r="D16" s="55"/>
      <c r="E16" s="55"/>
      <c r="F16" s="55"/>
      <c r="G16" s="55"/>
      <c r="H16" s="55"/>
      <c r="I16" s="55"/>
      <c r="J16" s="55"/>
      <c r="K16" s="55"/>
      <c r="L16" s="55"/>
      <c r="M16" s="55"/>
      <c r="N16" s="55"/>
      <c r="O16" s="55"/>
      <c r="P16" s="55"/>
      <c r="Q16" s="55"/>
      <c r="R16" s="55"/>
      <c r="S16" s="571"/>
      <c r="X16" s="102"/>
      <c r="AK16" s="400" t="s">
        <v>19</v>
      </c>
      <c r="AL16" s="399">
        <f>SUMIFS(Camp_List[Total],Camp_List[TOWNSHIP_NAME],$AK16,Camp_List[Total],"&gt;0",Camp_List[Total],"&lt;=1000")</f>
        <v>1355</v>
      </c>
      <c r="AM16" s="399">
        <f>SUMIFS(Camp_List[Total],Camp_List[TOWNSHIP_NAME],$AK16,Camp_List[Total],"&gt;1000",Camp_List[Total],"&lt;=5000")</f>
        <v>27370</v>
      </c>
      <c r="AN16" s="399">
        <f>SUMIFS(Camp_List[Total],Camp_List[TOWNSHIP_NAME],$AK16,Camp_List[Total],"&gt;5000",Camp_List[Total],"&lt;=10000")</f>
        <v>20762</v>
      </c>
      <c r="AO16" s="399">
        <f>SUMIFS(Camp_List[Total],Camp_List[TOWNSHIP_NAME],$AK16,Camp_List[Total],"&gt;10000",Camp_List[Total],"&lt;=100000")</f>
        <v>49721</v>
      </c>
      <c r="AP16" s="399">
        <f>SUMIFS(Camp_List[Total],Camp_List[TOWNSHIP_NAME],$AK16,Camp_List[Total],"",Camp_List[Status],"open")</f>
        <v>0</v>
      </c>
      <c r="AU16" s="38"/>
    </row>
    <row r="17" spans="2:48" ht="26.25" customHeight="1" x14ac:dyDescent="0.25">
      <c r="B17" s="68"/>
      <c r="C17" s="55"/>
      <c r="D17" s="55"/>
      <c r="E17" s="55"/>
      <c r="F17" s="55"/>
      <c r="G17" s="55"/>
      <c r="H17" s="55"/>
      <c r="I17" s="675" t="s">
        <v>1</v>
      </c>
      <c r="J17" s="563" t="s">
        <v>735</v>
      </c>
      <c r="K17" s="563" t="s">
        <v>591</v>
      </c>
      <c r="L17" s="563" t="s">
        <v>595</v>
      </c>
      <c r="M17" s="563" t="s">
        <v>795</v>
      </c>
      <c r="N17" s="564" t="s">
        <v>808</v>
      </c>
      <c r="O17" s="55"/>
      <c r="P17" s="55"/>
      <c r="Q17" s="55"/>
      <c r="R17" s="55"/>
      <c r="S17" s="571"/>
      <c r="AK17" s="420" t="s">
        <v>5</v>
      </c>
      <c r="AL17" s="421">
        <f>SUM(AL7:AL16)</f>
        <v>10427</v>
      </c>
      <c r="AM17" s="421">
        <f>SUM(AM7:AM16)</f>
        <v>51615</v>
      </c>
      <c r="AN17" s="421">
        <f>SUM(AN7:AN16)</f>
        <v>33299</v>
      </c>
      <c r="AO17" s="421">
        <f>SUM(AO7:AO16)</f>
        <v>49721</v>
      </c>
      <c r="AP17" s="422">
        <f>SUMIFS(Camplist_Popl,Camplist_Township,AK17,Camplist_Popl,"=0")</f>
        <v>0</v>
      </c>
      <c r="AQ17" s="77">
        <f>SUM(AL17:AO17)</f>
        <v>145062</v>
      </c>
      <c r="AU17" s="38"/>
    </row>
    <row r="18" spans="2:48" x14ac:dyDescent="0.25">
      <c r="B18" s="68"/>
      <c r="C18" s="55"/>
      <c r="D18" s="55"/>
      <c r="E18" s="55"/>
      <c r="F18" s="55"/>
      <c r="G18" s="55"/>
      <c r="H18" s="55"/>
      <c r="I18" s="528" t="s">
        <v>17</v>
      </c>
      <c r="J18" s="514"/>
      <c r="K18" s="514">
        <f>SUMIFS(Camplist_HH,Camplist_Township,'CCCM Dashboard'!$I18,CampList_Status,"Open")</f>
        <v>492</v>
      </c>
      <c r="L18" s="514">
        <f>SUMIFS(Camplist_Popl,Camplist_Township,'CCCM Dashboard'!$I18,CampList_Status,"Open")</f>
        <v>1601</v>
      </c>
      <c r="M18" s="514">
        <f t="shared" ref="M18:M27" si="0">AR24</f>
        <v>2</v>
      </c>
      <c r="N18" s="527">
        <f>AV24-Table9[[#This Row],['# of Planned Camp]]</f>
        <v>0</v>
      </c>
      <c r="O18" s="55"/>
      <c r="P18" s="55"/>
      <c r="Q18" s="55"/>
      <c r="R18" s="55"/>
      <c r="S18" s="571"/>
      <c r="AK18" s="24" t="s">
        <v>238</v>
      </c>
      <c r="AL18" s="32">
        <f>AL17/$AQ$17</f>
        <v>7.1879610097751304E-2</v>
      </c>
      <c r="AM18" s="32">
        <f>AM17/$AQ$17</f>
        <v>0.35581337634942301</v>
      </c>
      <c r="AN18" s="32">
        <f>AN17/$AQ$17</f>
        <v>0.22955012339551364</v>
      </c>
      <c r="AO18" s="32">
        <f>AO17/$AQ$17</f>
        <v>0.34275689015731203</v>
      </c>
      <c r="AP18" s="32">
        <f>AP17/$AQ$17</f>
        <v>0</v>
      </c>
      <c r="AQ18" s="27"/>
    </row>
    <row r="19" spans="2:48" x14ac:dyDescent="0.25">
      <c r="B19" s="68"/>
      <c r="C19" s="55"/>
      <c r="D19" s="55"/>
      <c r="E19" s="55"/>
      <c r="F19" s="55"/>
      <c r="G19" s="55"/>
      <c r="H19" s="55"/>
      <c r="I19" s="528" t="s">
        <v>15</v>
      </c>
      <c r="J19" s="514"/>
      <c r="K19" s="514">
        <f>SUMIFS(Camplist_HH,Camplist_Township,'CCCM Dashboard'!$I19,CampList_Status,"Open")</f>
        <v>1001</v>
      </c>
      <c r="L19" s="514">
        <f>SUMIFS(Camplist_Popl,Camplist_Township,'CCCM Dashboard'!$I19,CampList_Status,"Open")</f>
        <v>6512</v>
      </c>
      <c r="M19" s="514">
        <f t="shared" si="0"/>
        <v>0</v>
      </c>
      <c r="N19" s="527">
        <f>AV25-Table9[[#This Row],['# of Planned Camp]]</f>
        <v>11</v>
      </c>
      <c r="O19" s="55"/>
      <c r="P19" s="55"/>
      <c r="Q19" s="55"/>
      <c r="R19" s="55"/>
      <c r="S19" s="571"/>
      <c r="AK19" s="38"/>
      <c r="AL19" s="38"/>
      <c r="AM19" s="38"/>
      <c r="AN19" s="38"/>
      <c r="AO19" s="38"/>
      <c r="AP19" s="26"/>
      <c r="AQ19" s="27"/>
    </row>
    <row r="20" spans="2:48" x14ac:dyDescent="0.25">
      <c r="B20" s="68"/>
      <c r="C20" s="55"/>
      <c r="D20" s="55"/>
      <c r="E20" s="55"/>
      <c r="F20" s="55"/>
      <c r="G20" s="55"/>
      <c r="H20" s="55"/>
      <c r="I20" s="528" t="s">
        <v>20</v>
      </c>
      <c r="J20" s="514"/>
      <c r="K20" s="514">
        <f>SUMIFS(Camplist_HH,Camplist_Township,'CCCM Dashboard'!$I20,CampList_Status,"Open")</f>
        <v>219</v>
      </c>
      <c r="L20" s="514">
        <f>SUMIFS(Camplist_Popl,Camplist_Township,'CCCM Dashboard'!$I20,CampList_Status,"Open")</f>
        <v>1400</v>
      </c>
      <c r="M20" s="514">
        <f t="shared" si="0"/>
        <v>0</v>
      </c>
      <c r="N20" s="527">
        <f>AV26-Table9[[#This Row],['# of Planned Camp]]</f>
        <v>9</v>
      </c>
      <c r="O20" s="55"/>
      <c r="P20" s="55"/>
      <c r="Q20" s="55"/>
      <c r="R20" s="55"/>
      <c r="S20" s="571"/>
      <c r="AK20" s="38"/>
      <c r="AL20" s="38"/>
      <c r="AM20" s="38"/>
      <c r="AN20" s="38"/>
      <c r="AO20" s="38"/>
      <c r="AP20" s="26"/>
      <c r="AQ20" s="27"/>
    </row>
    <row r="21" spans="2:48" x14ac:dyDescent="0.25">
      <c r="B21" s="68"/>
      <c r="C21" s="55"/>
      <c r="D21" s="55"/>
      <c r="E21" s="55"/>
      <c r="F21" s="55"/>
      <c r="G21" s="55"/>
      <c r="H21" s="55"/>
      <c r="I21" s="528" t="s">
        <v>915</v>
      </c>
      <c r="J21" s="514"/>
      <c r="K21" s="514">
        <f>SUMIFS(Camplist_HH,Camplist_Township,'CCCM Dashboard'!$I21,CampList_Status,"Open")</f>
        <v>724</v>
      </c>
      <c r="L21" s="514">
        <f>SUMIFS(Camplist_Popl,Camplist_Township,'CCCM Dashboard'!$I21,CampList_Status,"Open")</f>
        <v>3013</v>
      </c>
      <c r="M21" s="514">
        <f t="shared" si="0"/>
        <v>2</v>
      </c>
      <c r="N21" s="527">
        <f>AV27-Table9[[#This Row],['# of Planned Camp]]</f>
        <v>0</v>
      </c>
      <c r="O21" s="55"/>
      <c r="P21" s="55"/>
      <c r="Q21" s="55"/>
      <c r="R21" s="55"/>
      <c r="S21" s="571"/>
      <c r="AK21" s="38"/>
      <c r="AL21" s="38"/>
      <c r="AM21" s="38"/>
      <c r="AN21" s="38"/>
      <c r="AO21" s="38"/>
      <c r="AP21" s="26"/>
      <c r="AQ21" s="27"/>
    </row>
    <row r="22" spans="2:48" x14ac:dyDescent="0.25">
      <c r="B22" s="68"/>
      <c r="C22" s="55"/>
      <c r="D22" s="55"/>
      <c r="E22" s="55"/>
      <c r="F22" s="55"/>
      <c r="G22" s="55"/>
      <c r="H22" s="55"/>
      <c r="I22" s="528" t="s">
        <v>11</v>
      </c>
      <c r="J22" s="514"/>
      <c r="K22" s="514">
        <f>SUMIFS(Camplist_HH,Camplist_Township,'CCCM Dashboard'!$I22,CampList_Status,"Open")</f>
        <v>911</v>
      </c>
      <c r="L22" s="514">
        <f>SUMIFS(Camplist_Popl,Camplist_Township,'CCCM Dashboard'!$I22,CampList_Status,"Open")</f>
        <v>5638</v>
      </c>
      <c r="M22" s="514">
        <f t="shared" si="0"/>
        <v>0</v>
      </c>
      <c r="N22" s="527">
        <f>AV28-Table9[[#This Row],['# of Planned Camp]]</f>
        <v>7</v>
      </c>
      <c r="O22" s="556"/>
      <c r="P22" s="55"/>
      <c r="Q22" s="55"/>
      <c r="R22" s="55"/>
      <c r="S22" s="571"/>
      <c r="AK22" s="25" t="s">
        <v>796</v>
      </c>
      <c r="AM22" s="17"/>
      <c r="AN22" s="17"/>
      <c r="AO22" s="38"/>
      <c r="AP22" s="26"/>
      <c r="AQ22" s="27"/>
    </row>
    <row r="23" spans="2:48" x14ac:dyDescent="0.25">
      <c r="B23" s="68"/>
      <c r="C23" s="55"/>
      <c r="D23" s="55"/>
      <c r="E23" s="55"/>
      <c r="F23" s="55"/>
      <c r="G23" s="55"/>
      <c r="H23" s="55"/>
      <c r="I23" s="528" t="s">
        <v>12</v>
      </c>
      <c r="J23" s="514"/>
      <c r="K23" s="514">
        <f>SUMIFS(Camplist_HH,Camplist_Township,'CCCM Dashboard'!$I23,CampList_Status,"Open")</f>
        <v>610</v>
      </c>
      <c r="L23" s="514">
        <f>SUMIFS(Camplist_Popl,Camplist_Township,'CCCM Dashboard'!$I23,CampList_Status,"Open")</f>
        <v>3826</v>
      </c>
      <c r="M23" s="514">
        <f t="shared" si="0"/>
        <v>0</v>
      </c>
      <c r="N23" s="527">
        <f>AV29-Table9[[#This Row],['# of Planned Camp]]</f>
        <v>4</v>
      </c>
      <c r="O23" s="55"/>
      <c r="P23" s="55"/>
      <c r="Q23" s="55"/>
      <c r="R23" s="55"/>
      <c r="S23" s="571"/>
      <c r="T23" s="102"/>
      <c r="AK23" s="24" t="s">
        <v>1</v>
      </c>
      <c r="AL23" s="31" t="s">
        <v>607</v>
      </c>
      <c r="AM23" s="31" t="s">
        <v>608</v>
      </c>
      <c r="AN23" s="31" t="s">
        <v>609</v>
      </c>
      <c r="AO23" s="31" t="s">
        <v>612</v>
      </c>
      <c r="AP23" s="31" t="s">
        <v>618</v>
      </c>
      <c r="AQ23" s="187" t="s">
        <v>5</v>
      </c>
      <c r="AR23" s="189" t="s">
        <v>22</v>
      </c>
      <c r="AS23" s="189" t="s">
        <v>914</v>
      </c>
      <c r="AT23" s="102" t="s">
        <v>23</v>
      </c>
      <c r="AU23" s="102" t="s">
        <v>854</v>
      </c>
    </row>
    <row r="24" spans="2:48" x14ac:dyDescent="0.25">
      <c r="B24" s="68"/>
      <c r="C24" s="55"/>
      <c r="D24" s="55"/>
      <c r="E24" s="55"/>
      <c r="F24" s="55"/>
      <c r="G24" s="55"/>
      <c r="H24" s="55"/>
      <c r="I24" s="528" t="s">
        <v>14</v>
      </c>
      <c r="J24" s="514"/>
      <c r="K24" s="514">
        <f>SUMIFS(Camplist_HH,Camplist_Township,'CCCM Dashboard'!$I24,CampList_Status,"Open")</f>
        <v>4684</v>
      </c>
      <c r="L24" s="514">
        <f>SUMIFS(Camplist_Popl,Camplist_Township,'CCCM Dashboard'!$I24,CampList_Status,"Open")</f>
        <v>19545</v>
      </c>
      <c r="M24" s="514">
        <f t="shared" si="0"/>
        <v>5</v>
      </c>
      <c r="N24" s="527">
        <f>AV30-Table9[[#This Row],['# of Planned Camp]]</f>
        <v>0</v>
      </c>
      <c r="O24" s="55"/>
      <c r="P24" s="55"/>
      <c r="Q24" s="55"/>
      <c r="R24" s="55"/>
      <c r="S24" s="571"/>
      <c r="T24" s="102"/>
      <c r="AK24" s="72" t="s">
        <v>17</v>
      </c>
      <c r="AL24" s="399">
        <f>COUNTIFS(Camp_List[TOWNSHIP_NAME],$AK24,Camp_List[Total],"&gt;0",Camp_List[Total],"&lt;=1000")</f>
        <v>1</v>
      </c>
      <c r="AM24" s="399">
        <f>COUNTIFS(Camp_List[TOWNSHIP_NAME],$AK24,Camp_List[Total],"&gt;1000",Camp_List[Total],"&lt;=5000")</f>
        <v>1</v>
      </c>
      <c r="AN24" s="399">
        <f>COUNTIFS(Camp_List[TOWNSHIP_NAME],$AK24,Camp_List[Total],"&gt;5000",Camp_List[Total],"&lt;=10000")</f>
        <v>0</v>
      </c>
      <c r="AO24" s="399">
        <f>COUNTIFS(Camp_List[TOWNSHIP_NAME],$AK24,Camp_List[Total],"&gt;10000",Camp_List[Total],"&lt;=100000")</f>
        <v>0</v>
      </c>
      <c r="AP24" s="399">
        <f>COUNTIFS(Camp_List[TOWNSHIP_NAME],$AK24,Camp_List[Total],"",Camp_List[Status],"open")</f>
        <v>0</v>
      </c>
      <c r="AQ24" s="187">
        <f>SUM(AL24:AP24)</f>
        <v>2</v>
      </c>
      <c r="AR24" s="102">
        <f>COUNTIFS(Camp_List[TOWNSHIP_NAME],$AK24,Camp_List[Total],"&gt;0",Camp_List[Status],"open",Camp_List[Type of Accomodation],AR$23)</f>
        <v>2</v>
      </c>
      <c r="AS24" s="102">
        <f>COUNTIFS(Camp_List[TOWNSHIP_NAME],$AK24,Camp_List[Total],"&gt;0",Camp_List[Status],"open",Camp_List[Type of Accomodation],AS$23)</f>
        <v>0</v>
      </c>
      <c r="AT24" s="102">
        <f>COUNTIFS(Camp_List[TOWNSHIP_NAME],$AK24,Camp_List[Total],"&gt;0",Camp_List[Status],"open",Camp_List[Type of Accomodation],AT$23)</f>
        <v>0</v>
      </c>
      <c r="AU24" s="102">
        <f>COUNTIFS(Camp_List[TOWNSHIP_NAME],$AK24,Camp_List[Total],"&gt;0",Camp_List[Status],"open",Camp_List[Type of Accomodation],AU$23)</f>
        <v>0</v>
      </c>
      <c r="AV24" s="102">
        <f>SUM(AR24:AU24)</f>
        <v>2</v>
      </c>
    </row>
    <row r="25" spans="2:48" x14ac:dyDescent="0.25">
      <c r="B25" s="68"/>
      <c r="C25" s="557"/>
      <c r="D25" s="55"/>
      <c r="E25" s="55"/>
      <c r="F25" s="55"/>
      <c r="G25" s="55"/>
      <c r="H25" s="55"/>
      <c r="I25" s="528" t="s">
        <v>18</v>
      </c>
      <c r="J25" s="514"/>
      <c r="K25" s="514">
        <f>SUMIFS(Camplist_HH,Camplist_Township,'CCCM Dashboard'!$I25,CampList_Status,"Open")</f>
        <v>78</v>
      </c>
      <c r="L25" s="514">
        <f>SUMIFS(Camplist_Popl,Camplist_Township,'CCCM Dashboard'!$I25,CampList_Status,"Open")</f>
        <v>264</v>
      </c>
      <c r="M25" s="514">
        <f t="shared" si="0"/>
        <v>1</v>
      </c>
      <c r="N25" s="527">
        <f>AV31-Table9[[#This Row],['# of Planned Camp]]</f>
        <v>1</v>
      </c>
      <c r="O25" s="55"/>
      <c r="P25" s="55"/>
      <c r="Q25" s="55"/>
      <c r="R25" s="55"/>
      <c r="S25" s="571"/>
      <c r="T25" s="102"/>
      <c r="AK25" s="72" t="s">
        <v>15</v>
      </c>
      <c r="AL25" s="399">
        <f>COUNTIFS(Camp_List[TOWNSHIP_NAME],$AK25,Camp_List[Total],"&gt;0",Camp_List[Total],"&lt;=1000")</f>
        <v>9</v>
      </c>
      <c r="AM25" s="399">
        <f>COUNTIFS(Camp_List[TOWNSHIP_NAME],$AK25,Camp_List[Total],"&gt;1000",Camp_List[Total],"&lt;=5000")</f>
        <v>2</v>
      </c>
      <c r="AN25" s="399">
        <f>COUNTIFS(Camp_List[TOWNSHIP_NAME],$AK25,Camp_List[Total],"&gt;5000",Camp_List[Total],"&lt;=10000")</f>
        <v>0</v>
      </c>
      <c r="AO25" s="399">
        <f>COUNTIFS(Camp_List[TOWNSHIP_NAME],$AK25,Camp_List[Total],"&gt;10000",Camp_List[Total],"&lt;=100000")</f>
        <v>0</v>
      </c>
      <c r="AP25" s="399">
        <f>COUNTIFS(Camp_List[TOWNSHIP_NAME],$AK25,Camp_List[Total],"",Camp_List[Status],"open")</f>
        <v>0</v>
      </c>
      <c r="AQ25" s="187">
        <f t="shared" ref="AQ25:AQ32" si="1">SUM(AL25:AP25)</f>
        <v>11</v>
      </c>
      <c r="AR25" s="102">
        <f>COUNTIFS(Camp_List[TOWNSHIP_NAME],$AK25,Camp_List[Total],"&gt;0",Camp_List[Status],"open",Camp_List[Type of Accomodation],AR$23)</f>
        <v>0</v>
      </c>
      <c r="AS25" s="102">
        <f>COUNTIFS(Camp_List[TOWNSHIP_NAME],$AK25,Camp_List[Total],"&gt;0",Camp_List[Status],"open",Camp_List[Type of Accomodation],AS$23)</f>
        <v>0</v>
      </c>
      <c r="AT25" s="102">
        <f>COUNTIFS(Camp_List[TOWNSHIP_NAME],$AK25,Camp_List[Total],"&gt;0",Camp_List[Status],"open",Camp_List[Type of Accomodation],AT$23)</f>
        <v>2</v>
      </c>
      <c r="AU25" s="102">
        <f>COUNTIFS(Camp_List[TOWNSHIP_NAME],$AK25,Camp_List[Total],"&gt;0",Camp_List[Status],"open",Camp_List[Type of Accomodation],AU$23)</f>
        <v>9</v>
      </c>
      <c r="AV25" s="102">
        <f>SUM(AR25:AU25)</f>
        <v>11</v>
      </c>
    </row>
    <row r="26" spans="2:48" x14ac:dyDescent="0.25">
      <c r="B26" s="68"/>
      <c r="C26" s="55"/>
      <c r="D26" s="55"/>
      <c r="E26" s="55"/>
      <c r="F26" s="55"/>
      <c r="G26" s="55"/>
      <c r="H26" s="55"/>
      <c r="I26" s="528" t="s">
        <v>16</v>
      </c>
      <c r="J26" s="514"/>
      <c r="K26" s="514">
        <f>SUMIFS(Camplist_HH,Camplist_Township,'CCCM Dashboard'!$I26,CampList_Status,"Open")</f>
        <v>747</v>
      </c>
      <c r="L26" s="514">
        <f>SUMIFS(Camplist_Popl,Camplist_Township,'CCCM Dashboard'!$I26,CampList_Status,"Open")</f>
        <v>4055</v>
      </c>
      <c r="M26" s="514">
        <f t="shared" si="0"/>
        <v>4</v>
      </c>
      <c r="N26" s="527">
        <f>AV32-Table9[[#This Row],['# of Planned Camp]]</f>
        <v>1</v>
      </c>
      <c r="O26" s="55"/>
      <c r="P26" s="55"/>
      <c r="Q26" s="55"/>
      <c r="R26" s="55"/>
      <c r="S26" s="571"/>
      <c r="T26" s="102"/>
      <c r="AK26" s="72" t="s">
        <v>20</v>
      </c>
      <c r="AL26" s="399">
        <f>COUNTIFS(Camp_List[TOWNSHIP_NAME],$AK26,Camp_List[Total],"&gt;0",Camp_List[Total],"&lt;=1000")</f>
        <v>9</v>
      </c>
      <c r="AM26" s="399">
        <f>COUNTIFS(Camp_List[TOWNSHIP_NAME],$AK26,Camp_List[Total],"&gt;1000",Camp_List[Total],"&lt;=5000")</f>
        <v>0</v>
      </c>
      <c r="AN26" s="399">
        <f>COUNTIFS(Camp_List[TOWNSHIP_NAME],$AK26,Camp_List[Total],"&gt;5000",Camp_List[Total],"&lt;=10000")</f>
        <v>0</v>
      </c>
      <c r="AO26" s="399">
        <f>COUNTIFS(Camp_List[TOWNSHIP_NAME],$AK26,Camp_List[Total],"&gt;10000",Camp_List[Total],"&lt;=100000")</f>
        <v>0</v>
      </c>
      <c r="AP26" s="399">
        <f>COUNTIFS(Camp_List[TOWNSHIP_NAME],$AK26,Camp_List[Total],"",Camp_List[Status],"open")</f>
        <v>0</v>
      </c>
      <c r="AQ26" s="187">
        <f t="shared" si="1"/>
        <v>9</v>
      </c>
      <c r="AR26" s="102">
        <f>COUNTIFS(Camp_List[TOWNSHIP_NAME],$AK26,Camp_List[Total],"&gt;0",Camp_List[Status],"open",Camp_List[Type of Accomodation],AR$23)</f>
        <v>0</v>
      </c>
      <c r="AS26" s="102">
        <f>COUNTIFS(Camp_List[TOWNSHIP_NAME],$AK26,Camp_List[Total],"&gt;0",Camp_List[Status],"open",Camp_List[Type of Accomodation],AS$23)</f>
        <v>0</v>
      </c>
      <c r="AT26" s="102">
        <f>COUNTIFS(Camp_List[TOWNSHIP_NAME],$AK26,Camp_List[Total],"&gt;0",Camp_List[Status],"open",Camp_List[Type of Accomodation],AT$23)</f>
        <v>9</v>
      </c>
      <c r="AU26" s="102">
        <f>COUNTIFS(Camp_List[TOWNSHIP_NAME],$AK26,Camp_List[Total],"&gt;0",Camp_List[Status],"open",Camp_List[Type of Accomodation],AU$23)</f>
        <v>0</v>
      </c>
      <c r="AV26" s="102">
        <f t="shared" ref="AV26:AV32" si="2">SUM(AR26:AU26)</f>
        <v>9</v>
      </c>
    </row>
    <row r="27" spans="2:48" x14ac:dyDescent="0.25">
      <c r="B27" s="68"/>
      <c r="C27" s="55"/>
      <c r="D27" s="55"/>
      <c r="E27" s="55"/>
      <c r="F27" s="55"/>
      <c r="G27" s="55"/>
      <c r="H27" s="55"/>
      <c r="I27" s="528" t="s">
        <v>19</v>
      </c>
      <c r="J27" s="514"/>
      <c r="K27" s="514">
        <f>SUMIFS(Camplist_HH,Camplist_Township,'CCCM Dashboard'!$I27,CampList_Status,"Open")</f>
        <v>18549</v>
      </c>
      <c r="L27" s="514">
        <f>SUMIFS(Camplist_Popl,Camplist_Township,'CCCM Dashboard'!$I27,CampList_Status,"Open")</f>
        <v>99208</v>
      </c>
      <c r="M27" s="514">
        <f t="shared" si="0"/>
        <v>15</v>
      </c>
      <c r="N27" s="527">
        <f>AV33-Table9[[#This Row],['# of Planned Camp]]</f>
        <v>5</v>
      </c>
      <c r="O27" s="55"/>
      <c r="P27" s="55"/>
      <c r="Q27" s="55"/>
      <c r="R27" s="55"/>
      <c r="S27" s="571"/>
      <c r="T27" s="102"/>
      <c r="AK27" s="72" t="s">
        <v>915</v>
      </c>
      <c r="AL27" s="399">
        <f>COUNTIFS(Camp_List[TOWNSHIP_NAME],$AK27,Camp_List[Total],"&gt;0",Camp_List[Total],"&lt;=1000")</f>
        <v>1</v>
      </c>
      <c r="AM27" s="399">
        <f>COUNTIFS(Camp_List[TOWNSHIP_NAME],$AK27,Camp_List[Total],"&gt;1000",Camp_List[Total],"&lt;=5000")</f>
        <v>1</v>
      </c>
      <c r="AN27" s="399">
        <f>COUNTIFS(Camp_List[TOWNSHIP_NAME],$AK27,Camp_List[Total],"&gt;5000",Camp_List[Total],"&lt;=10000")</f>
        <v>0</v>
      </c>
      <c r="AO27" s="399">
        <f>COUNTIFS(Camp_List[TOWNSHIP_NAME],$AK27,Camp_List[Total],"&gt;10000",Camp_List[Total],"&lt;=100000")</f>
        <v>0</v>
      </c>
      <c r="AP27" s="399">
        <f>COUNTIFS(Camp_List[TOWNSHIP_NAME],$AK27,Camp_List[Total],"",Camp_List[Status],"open")</f>
        <v>0</v>
      </c>
      <c r="AQ27" s="187">
        <f t="shared" si="1"/>
        <v>2</v>
      </c>
      <c r="AR27" s="102">
        <f>COUNTIFS(Camp_List[TOWNSHIP_NAME],$AK27,Camp_List[Total],"&gt;0",Camp_List[Status],"open",Camp_List[Type of Accomodation],AR$23)</f>
        <v>2</v>
      </c>
      <c r="AS27" s="102">
        <f>COUNTIFS(Camp_List[TOWNSHIP_NAME],$AK27,Camp_List[Total],"&gt;0",Camp_List[Status],"open",Camp_List[Type of Accomodation],AS$23)</f>
        <v>0</v>
      </c>
      <c r="AT27" s="102">
        <f>COUNTIFS(Camp_List[TOWNSHIP_NAME],$AK27,Camp_List[Total],"&gt;0",Camp_List[Status],"open",Camp_List[Type of Accomodation],AT$23)</f>
        <v>0</v>
      </c>
      <c r="AU27" s="102">
        <f>COUNTIFS(Camp_List[TOWNSHIP_NAME],$AK27,Camp_List[Total],"&gt;0",Camp_List[Status],"open",Camp_List[Type of Accomodation],AU$23)</f>
        <v>0</v>
      </c>
      <c r="AV27" s="102">
        <f t="shared" si="2"/>
        <v>2</v>
      </c>
    </row>
    <row r="28" spans="2:48" x14ac:dyDescent="0.25">
      <c r="B28" s="68"/>
      <c r="C28" s="55"/>
      <c r="D28" s="55"/>
      <c r="E28" s="55"/>
      <c r="F28" s="55"/>
      <c r="G28" s="55"/>
      <c r="H28" s="558"/>
      <c r="I28" s="677" t="s">
        <v>5</v>
      </c>
      <c r="J28" s="565"/>
      <c r="K28" s="565">
        <f>SUM(K18:K27)</f>
        <v>28015</v>
      </c>
      <c r="L28" s="565">
        <f>SUM(L18:L27)</f>
        <v>145062</v>
      </c>
      <c r="M28" s="565">
        <f>SUM(M18:M27)</f>
        <v>29</v>
      </c>
      <c r="N28" s="519">
        <f>SUM(N18:N27)</f>
        <v>38</v>
      </c>
      <c r="O28" s="55"/>
      <c r="P28" s="55"/>
      <c r="Q28" s="55"/>
      <c r="R28" s="55"/>
      <c r="S28" s="571"/>
      <c r="AK28" s="72" t="s">
        <v>11</v>
      </c>
      <c r="AL28" s="399">
        <f>COUNTIFS(Camp_List[TOWNSHIP_NAME],$AK28,Camp_List[Total],"&gt;0",Camp_List[Total],"&lt;=1000")</f>
        <v>4</v>
      </c>
      <c r="AM28" s="399">
        <f>COUNTIFS(Camp_List[TOWNSHIP_NAME],$AK28,Camp_List[Total],"&gt;1000",Camp_List[Total],"&lt;=5000")</f>
        <v>3</v>
      </c>
      <c r="AN28" s="399">
        <f>COUNTIFS(Camp_List[TOWNSHIP_NAME],$AK28,Camp_List[Total],"&gt;5000",Camp_List[Total],"&lt;=10000")</f>
        <v>0</v>
      </c>
      <c r="AO28" s="399">
        <f>COUNTIFS(Camp_List[TOWNSHIP_NAME],$AK28,Camp_List[Total],"&gt;10000",Camp_List[Total],"&lt;=100000")</f>
        <v>0</v>
      </c>
      <c r="AP28" s="399">
        <f>COUNTIFS(Camp_List[TOWNSHIP_NAME],$AK28,Camp_List[Total],"",Camp_List[Status],"open")</f>
        <v>0</v>
      </c>
      <c r="AQ28" s="187">
        <f t="shared" si="1"/>
        <v>7</v>
      </c>
      <c r="AR28" s="102">
        <f>COUNTIFS(Camp_List[TOWNSHIP_NAME],$AK28,Camp_List[Total],"&gt;0",Camp_List[Status],"open",Camp_List[Type of Accomodation],AR$23)</f>
        <v>0</v>
      </c>
      <c r="AS28" s="102">
        <f>COUNTIFS(Camp_List[TOWNSHIP_NAME],$AK28,Camp_List[Total],"&gt;0",Camp_List[Status],"open",Camp_List[Type of Accomodation],AS$23)</f>
        <v>0</v>
      </c>
      <c r="AT28" s="102">
        <f>COUNTIFS(Camp_List[TOWNSHIP_NAME],$AK28,Camp_List[Total],"&gt;0",Camp_List[Status],"open",Camp_List[Type of Accomodation],AT$23)</f>
        <v>1</v>
      </c>
      <c r="AU28" s="102">
        <f>COUNTIFS(Camp_List[TOWNSHIP_NAME],$AK28,Camp_List[Total],"&gt;0",Camp_List[Status],"open",Camp_List[Type of Accomodation],AU$23)</f>
        <v>6</v>
      </c>
      <c r="AV28" s="102">
        <f t="shared" si="2"/>
        <v>7</v>
      </c>
    </row>
    <row r="29" spans="2:48" x14ac:dyDescent="0.25">
      <c r="B29" s="574"/>
      <c r="C29" s="55"/>
      <c r="D29" s="55"/>
      <c r="E29" s="55"/>
      <c r="F29" s="55"/>
      <c r="G29" s="55"/>
      <c r="H29" s="558"/>
      <c r="I29" s="558"/>
      <c r="J29" s="558"/>
      <c r="K29" s="559"/>
      <c r="L29" s="559"/>
      <c r="M29" s="559"/>
      <c r="N29" s="55"/>
      <c r="O29" s="55"/>
      <c r="P29" s="55"/>
      <c r="Q29" s="55"/>
      <c r="R29" s="55"/>
      <c r="S29" s="571"/>
      <c r="AK29" s="72" t="s">
        <v>12</v>
      </c>
      <c r="AL29" s="399">
        <f>COUNTIFS(Camp_List[TOWNSHIP_NAME],$AK29,Camp_List[Total],"&gt;0",Camp_List[Total],"&lt;=1000")</f>
        <v>2</v>
      </c>
      <c r="AM29" s="399">
        <f>COUNTIFS(Camp_List[TOWNSHIP_NAME],$AK29,Camp_List[Total],"&gt;1000",Camp_List[Total],"&lt;=5000")</f>
        <v>2</v>
      </c>
      <c r="AN29" s="399">
        <f>COUNTIFS(Camp_List[TOWNSHIP_NAME],$AK29,Camp_List[Total],"&gt;5000",Camp_List[Total],"&lt;=10000")</f>
        <v>0</v>
      </c>
      <c r="AO29" s="399">
        <f>COUNTIFS(Camp_List[TOWNSHIP_NAME],$AK29,Camp_List[Total],"&gt;10000",Camp_List[Total],"&lt;=100000")</f>
        <v>0</v>
      </c>
      <c r="AP29" s="399">
        <f>COUNTIFS(Camp_List[TOWNSHIP_NAME],$AK29,Camp_List[Total],"",Camp_List[Status],"open")</f>
        <v>0</v>
      </c>
      <c r="AQ29" s="187">
        <f t="shared" si="1"/>
        <v>4</v>
      </c>
      <c r="AR29" s="102">
        <f>COUNTIFS(Camp_List[TOWNSHIP_NAME],$AK29,Camp_List[Total],"&gt;0",Camp_List[Status],"open",Camp_List[Type of Accomodation],AR$23)</f>
        <v>0</v>
      </c>
      <c r="AS29" s="102">
        <f>COUNTIFS(Camp_List[TOWNSHIP_NAME],$AK29,Camp_List[Total],"&gt;0",Camp_List[Status],"open",Camp_List[Type of Accomodation],AS$23)</f>
        <v>0</v>
      </c>
      <c r="AT29" s="102">
        <f>COUNTIFS(Camp_List[TOWNSHIP_NAME],$AK29,Camp_List[Total],"&gt;0",Camp_List[Status],"open",Camp_List[Type of Accomodation],AT$23)</f>
        <v>2</v>
      </c>
      <c r="AU29" s="102">
        <f>COUNTIFS(Camp_List[TOWNSHIP_NAME],$AK29,Camp_List[Total],"&gt;0",Camp_List[Status],"open",Camp_List[Type of Accomodation],AU$23)</f>
        <v>2</v>
      </c>
      <c r="AV29" s="102">
        <f>SUM(AR29:AU29)</f>
        <v>4</v>
      </c>
    </row>
    <row r="30" spans="2:48" x14ac:dyDescent="0.25">
      <c r="B30" s="574"/>
      <c r="C30" s="55"/>
      <c r="D30" s="55"/>
      <c r="E30" s="55"/>
      <c r="F30" s="55"/>
      <c r="G30" s="55"/>
      <c r="H30" s="558"/>
      <c r="I30" s="558"/>
      <c r="J30" s="558"/>
      <c r="K30" s="559"/>
      <c r="L30" s="559"/>
      <c r="M30" s="559"/>
      <c r="N30" s="55"/>
      <c r="O30" s="55"/>
      <c r="P30" s="55"/>
      <c r="Q30" s="55"/>
      <c r="R30" s="55"/>
      <c r="S30" s="571"/>
      <c r="AK30" s="72" t="s">
        <v>14</v>
      </c>
      <c r="AL30" s="399">
        <f>COUNTIFS(Camp_List[TOWNSHIP_NAME],$AK30,Camp_List[Total],"&gt;0",Camp_List[Total],"&lt;=1000")</f>
        <v>1</v>
      </c>
      <c r="AM30" s="399">
        <f>COUNTIFS(Camp_List[TOWNSHIP_NAME],$AK30,Camp_List[Total],"&gt;1000",Camp_List[Total],"&lt;=5000")</f>
        <v>2</v>
      </c>
      <c r="AN30" s="399">
        <f>COUNTIFS(Camp_List[TOWNSHIP_NAME],$AK30,Camp_List[Total],"&gt;5000",Camp_List[Total],"&lt;=10000")</f>
        <v>2</v>
      </c>
      <c r="AO30" s="399">
        <f>COUNTIFS(Camp_List[TOWNSHIP_NAME],$AK30,Camp_List[Total],"&gt;10000",Camp_List[Total],"&lt;=100000")</f>
        <v>0</v>
      </c>
      <c r="AP30" s="399">
        <f>COUNTIFS(Camp_List[TOWNSHIP_NAME],$AK30,Camp_List[Total],"",Camp_List[Status],"open")</f>
        <v>0</v>
      </c>
      <c r="AQ30" s="187">
        <f t="shared" si="1"/>
        <v>5</v>
      </c>
      <c r="AR30" s="102">
        <f>COUNTIFS(Camp_List[TOWNSHIP_NAME],$AK30,Camp_List[Total],"&gt;0",Camp_List[Status],"open",Camp_List[Type of Accomodation],AR$23)</f>
        <v>5</v>
      </c>
      <c r="AS30" s="102">
        <f>COUNTIFS(Camp_List[TOWNSHIP_NAME],$AK30,Camp_List[Total],"&gt;0",Camp_List[Status],"open",Camp_List[Type of Accomodation],AS$23)</f>
        <v>0</v>
      </c>
      <c r="AT30" s="102">
        <f>COUNTIFS(Camp_List[TOWNSHIP_NAME],$AK30,Camp_List[Total],"&gt;0",Camp_List[Status],"open",Camp_List[Type of Accomodation],AT$23)</f>
        <v>0</v>
      </c>
      <c r="AU30" s="102">
        <f>COUNTIFS(Camp_List[TOWNSHIP_NAME],$AK30,Camp_List[Total],"&gt;0",Camp_List[Status],"open",Camp_List[Type of Accomodation],AU$23)</f>
        <v>0</v>
      </c>
      <c r="AV30" s="102">
        <f t="shared" si="2"/>
        <v>5</v>
      </c>
    </row>
    <row r="31" spans="2:48" x14ac:dyDescent="0.25">
      <c r="B31" s="574"/>
      <c r="C31" s="55"/>
      <c r="D31" s="55"/>
      <c r="E31" s="55"/>
      <c r="F31" s="55"/>
      <c r="G31" s="55"/>
      <c r="H31" s="558"/>
      <c r="I31" s="55"/>
      <c r="J31" s="55"/>
      <c r="K31" s="55"/>
      <c r="L31" s="55"/>
      <c r="M31" s="55"/>
      <c r="N31" s="55"/>
      <c r="O31" s="55"/>
      <c r="P31" s="55"/>
      <c r="Q31" s="55"/>
      <c r="R31" s="55"/>
      <c r="S31" s="571"/>
      <c r="AK31" s="72" t="s">
        <v>18</v>
      </c>
      <c r="AL31" s="399">
        <f>COUNTIFS(Camp_List[TOWNSHIP_NAME],$AK31,Camp_List[Total],"&gt;0",Camp_List[Total],"&lt;=1000")</f>
        <v>2</v>
      </c>
      <c r="AM31" s="399">
        <f>COUNTIFS(Camp_List[TOWNSHIP_NAME],$AK31,Camp_List[Total],"&gt;1000",Camp_List[Total],"&lt;=5000")</f>
        <v>0</v>
      </c>
      <c r="AN31" s="399">
        <f>COUNTIFS(Camp_List[TOWNSHIP_NAME],$AK31,Camp_List[Total],"&gt;5000",Camp_List[Total],"&lt;=10000")</f>
        <v>0</v>
      </c>
      <c r="AO31" s="399">
        <f>COUNTIFS(Camp_List[TOWNSHIP_NAME],$AK31,Camp_List[Total],"&gt;10000",Camp_List[Total],"&lt;=100000")</f>
        <v>0</v>
      </c>
      <c r="AP31" s="399">
        <f>COUNTIFS(Camp_List[TOWNSHIP_NAME],$AK31,Camp_List[Total],"",Camp_List[Status],"open")</f>
        <v>0</v>
      </c>
      <c r="AQ31" s="187">
        <f t="shared" si="1"/>
        <v>2</v>
      </c>
      <c r="AR31" s="102">
        <f>COUNTIFS(Camp_List[TOWNSHIP_NAME],$AK31,Camp_List[Total],"&gt;0",Camp_List[Status],"open",Camp_List[Type of Accomodation],AR$23)</f>
        <v>1</v>
      </c>
      <c r="AS31" s="102">
        <f>COUNTIFS(Camp_List[TOWNSHIP_NAME],$AK31,Camp_List[Total],"&gt;0",Camp_List[Status],"open",Camp_List[Type of Accomodation],AS$23)</f>
        <v>0</v>
      </c>
      <c r="AT31" s="102">
        <f>COUNTIFS(Camp_List[TOWNSHIP_NAME],$AK31,Camp_List[Total],"&gt;0",Camp_List[Status],"open",Camp_List[Type of Accomodation],AT$23)</f>
        <v>1</v>
      </c>
      <c r="AU31" s="102">
        <f>COUNTIFS(Camp_List[TOWNSHIP_NAME],$AK31,Camp_List[Total],"&gt;0",Camp_List[Status],"open",Camp_List[Type of Accomodation],AU$23)</f>
        <v>0</v>
      </c>
      <c r="AV31" s="102">
        <f t="shared" si="2"/>
        <v>2</v>
      </c>
    </row>
    <row r="32" spans="2:48" ht="15" customHeight="1" x14ac:dyDescent="0.25">
      <c r="B32" s="574"/>
      <c r="C32" s="55"/>
      <c r="D32" s="55"/>
      <c r="E32" s="55"/>
      <c r="F32" s="55"/>
      <c r="G32" s="55"/>
      <c r="H32" s="558"/>
      <c r="I32" s="55"/>
      <c r="J32" s="55"/>
      <c r="K32" s="55"/>
      <c r="L32" s="55"/>
      <c r="M32" s="55"/>
      <c r="N32" s="55"/>
      <c r="O32" s="55"/>
      <c r="P32" s="55"/>
      <c r="Q32" s="55"/>
      <c r="R32" s="55"/>
      <c r="S32" s="571"/>
      <c r="AK32" s="72" t="s">
        <v>16</v>
      </c>
      <c r="AL32" s="399">
        <f>COUNTIFS(Camp_List[TOWNSHIP_NAME],$AK32,Camp_List[Total],"&gt;0",Camp_List[Total],"&lt;=1000")</f>
        <v>3</v>
      </c>
      <c r="AM32" s="399">
        <f>COUNTIFS(Camp_List[TOWNSHIP_NAME],$AK32,Camp_List[Total],"&gt;1000",Camp_List[Total],"&lt;=5000")</f>
        <v>2</v>
      </c>
      <c r="AN32" s="399">
        <f>COUNTIFS(Camp_List[TOWNSHIP_NAME],$AK32,Camp_List[Total],"&gt;5000",Camp_List[Total],"&lt;=10000")</f>
        <v>0</v>
      </c>
      <c r="AO32" s="399">
        <f>COUNTIFS(Camp_List[TOWNSHIP_NAME],$AK32,Camp_List[Total],"&gt;10000",Camp_List[Total],"&lt;=100000")</f>
        <v>0</v>
      </c>
      <c r="AP32" s="399">
        <f>COUNTIFS(Camp_List[TOWNSHIP_NAME],$AK32,Camp_List[Total],"",Camp_List[Status],"open")</f>
        <v>0</v>
      </c>
      <c r="AQ32" s="187">
        <f t="shared" si="1"/>
        <v>5</v>
      </c>
      <c r="AR32" s="102">
        <f>COUNTIFS(Camp_List[TOWNSHIP_NAME],$AK32,Camp_List[Total],"&gt;0",Camp_List[Status],"open",Camp_List[Type of Accomodation],AR$23)</f>
        <v>4</v>
      </c>
      <c r="AS32" s="102">
        <f>COUNTIFS(Camp_List[TOWNSHIP_NAME],$AK32,Camp_List[Total],"&gt;0",Camp_List[Status],"open",Camp_List[Type of Accomodation],AS$23)</f>
        <v>0</v>
      </c>
      <c r="AT32" s="102">
        <f>COUNTIFS(Camp_List[TOWNSHIP_NAME],$AK32,Camp_List[Total],"&gt;0",Camp_List[Status],"open",Camp_List[Type of Accomodation],AT$23)</f>
        <v>1</v>
      </c>
      <c r="AU32" s="102">
        <f>COUNTIFS(Camp_List[TOWNSHIP_NAME],$AK32,Camp_List[Total],"&gt;0",Camp_List[Status],"open",Camp_List[Type of Accomodation],AU$23)</f>
        <v>0</v>
      </c>
      <c r="AV32" s="102">
        <f t="shared" si="2"/>
        <v>5</v>
      </c>
    </row>
    <row r="33" spans="2:48" s="102" customFormat="1" ht="14.25" customHeight="1" x14ac:dyDescent="0.25">
      <c r="B33" s="574"/>
      <c r="C33" s="55"/>
      <c r="D33" s="55"/>
      <c r="E33" s="55"/>
      <c r="F33" s="55"/>
      <c r="G33" s="55"/>
      <c r="H33" s="558"/>
      <c r="I33" s="55"/>
      <c r="J33" s="55"/>
      <c r="K33" s="55"/>
      <c r="L33" s="55"/>
      <c r="M33" s="55"/>
      <c r="N33" s="55"/>
      <c r="O33" s="55"/>
      <c r="P33" s="55"/>
      <c r="Q33" s="55"/>
      <c r="R33" s="55"/>
      <c r="S33" s="571"/>
      <c r="AK33" s="72" t="s">
        <v>19</v>
      </c>
      <c r="AL33" s="399">
        <f>COUNTIFS(Camp_List[TOWNSHIP_NAME],$AK33,Camp_List[Total],"&gt;0",Camp_List[Total],"&lt;=1000")</f>
        <v>4</v>
      </c>
      <c r="AM33" s="399">
        <f>COUNTIFS(Camp_List[TOWNSHIP_NAME],$AK33,Camp_List[Total],"&gt;1000",Camp_List[Total],"&lt;=5000")</f>
        <v>9</v>
      </c>
      <c r="AN33" s="399">
        <f>COUNTIFS(Camp_List[TOWNSHIP_NAME],$AK33,Camp_List[Total],"&gt;5000",Camp_List[Total],"&lt;=10000")</f>
        <v>3</v>
      </c>
      <c r="AO33" s="399">
        <f>COUNTIFS(Camp_List[TOWNSHIP_NAME],$AK33,Camp_List[Total],"&gt;10000",Camp_List[Total],"&lt;=100000")</f>
        <v>4</v>
      </c>
      <c r="AP33" s="399">
        <f>COUNTIFS(Camp_List[TOWNSHIP_NAME],$AK33,Camp_List[Total],"",Camp_List[Status],"open")</f>
        <v>0</v>
      </c>
      <c r="AQ33" s="187">
        <f>SUM(AL33:AP33)</f>
        <v>20</v>
      </c>
      <c r="AR33" s="102">
        <f>COUNTIFS(Camp_List[TOWNSHIP_NAME],$AK33,Camp_List[Total],"&gt;0",Camp_List[Status],"open",Camp_List[Type of Accomodation],AR$23)</f>
        <v>15</v>
      </c>
      <c r="AS33" s="102">
        <f>COUNTIFS(Camp_List[TOWNSHIP_NAME],$AK33,Camp_List[Total],"&gt;0",Camp_List[Status],"open",Camp_List[Type of Accomodation],AS$23)</f>
        <v>0</v>
      </c>
      <c r="AT33" s="102">
        <f>COUNTIFS(Camp_List[TOWNSHIP_NAME],$AK33,Camp_List[Total],"&gt;0",Camp_List[Status],"open",Camp_List[Type of Accomodation],AT$23)</f>
        <v>1</v>
      </c>
      <c r="AU33" s="102">
        <f>COUNTIFS(Camp_List[TOWNSHIP_NAME],$AK33,Camp_List[Total],"&gt;0",Camp_List[Status],"open",Camp_List[Type of Accomodation],AU$23)</f>
        <v>4</v>
      </c>
      <c r="AV33" s="102">
        <f>SUM(AR33:AU33)</f>
        <v>20</v>
      </c>
    </row>
    <row r="34" spans="2:48" x14ac:dyDescent="0.25">
      <c r="B34" s="574"/>
      <c r="C34" s="55"/>
      <c r="D34" s="55"/>
      <c r="E34" s="55"/>
      <c r="F34" s="55"/>
      <c r="G34" s="55"/>
      <c r="H34" s="55"/>
      <c r="I34" s="55"/>
      <c r="J34" s="55"/>
      <c r="K34" s="55"/>
      <c r="L34" s="55"/>
      <c r="M34" s="55"/>
      <c r="N34" s="55"/>
      <c r="O34" s="55"/>
      <c r="P34" s="55"/>
      <c r="Q34" s="55"/>
      <c r="R34" s="55"/>
      <c r="S34" s="571"/>
      <c r="AK34" s="423" t="s">
        <v>5</v>
      </c>
      <c r="AL34" s="422">
        <f t="shared" ref="AL34:AU34" si="3">SUM(AL24:AL33)</f>
        <v>36</v>
      </c>
      <c r="AM34" s="422">
        <f t="shared" si="3"/>
        <v>22</v>
      </c>
      <c r="AN34" s="422">
        <f t="shared" si="3"/>
        <v>5</v>
      </c>
      <c r="AO34" s="422">
        <f t="shared" si="3"/>
        <v>4</v>
      </c>
      <c r="AP34" s="422">
        <f t="shared" si="3"/>
        <v>0</v>
      </c>
      <c r="AQ34" s="188">
        <f t="shared" si="3"/>
        <v>67</v>
      </c>
      <c r="AR34" s="188">
        <f t="shared" si="3"/>
        <v>29</v>
      </c>
      <c r="AS34" s="188">
        <f t="shared" si="3"/>
        <v>0</v>
      </c>
      <c r="AT34" s="188">
        <f t="shared" si="3"/>
        <v>17</v>
      </c>
      <c r="AU34" s="188">
        <f t="shared" si="3"/>
        <v>21</v>
      </c>
      <c r="AV34" s="77">
        <f>SUM(AR34:AU34)</f>
        <v>67</v>
      </c>
    </row>
    <row r="35" spans="2:48" x14ac:dyDescent="0.25">
      <c r="B35" s="574"/>
      <c r="C35" s="55"/>
      <c r="D35" s="55"/>
      <c r="E35" s="55"/>
      <c r="F35" s="55"/>
      <c r="G35" s="55"/>
      <c r="H35" s="55"/>
      <c r="I35" s="55"/>
      <c r="J35" s="55"/>
      <c r="K35" s="55"/>
      <c r="L35" s="55"/>
      <c r="M35" s="55"/>
      <c r="N35" s="55"/>
      <c r="O35" s="55"/>
      <c r="P35" s="55"/>
      <c r="Q35" s="55"/>
      <c r="R35" s="55"/>
      <c r="S35" s="571"/>
      <c r="W35" s="92"/>
      <c r="AJ35" s="38"/>
      <c r="AK35" s="38"/>
      <c r="AL35" s="38"/>
      <c r="AM35" s="38"/>
      <c r="AN35" s="38"/>
      <c r="AO35" s="38"/>
      <c r="AP35" s="38"/>
      <c r="AQ35" s="38"/>
    </row>
    <row r="36" spans="2:48" x14ac:dyDescent="0.25">
      <c r="B36" s="574"/>
      <c r="C36" s="55"/>
      <c r="D36" s="55"/>
      <c r="E36" s="55"/>
      <c r="F36" s="55"/>
      <c r="G36" s="55"/>
      <c r="H36" s="55"/>
      <c r="I36" s="55"/>
      <c r="J36" s="55"/>
      <c r="K36" s="55"/>
      <c r="L36" s="55"/>
      <c r="M36" s="55"/>
      <c r="N36" s="55"/>
      <c r="O36" s="55"/>
      <c r="P36" s="55"/>
      <c r="Q36" s="55"/>
      <c r="R36" s="55"/>
      <c r="S36" s="571"/>
      <c r="W36" s="92"/>
      <c r="AJ36" s="38"/>
      <c r="AQ36" s="38"/>
    </row>
    <row r="37" spans="2:48" s="102" customFormat="1" x14ac:dyDescent="0.25">
      <c r="B37" s="574"/>
      <c r="C37" s="55"/>
      <c r="D37" s="55"/>
      <c r="E37" s="55"/>
      <c r="F37" s="55"/>
      <c r="G37" s="55"/>
      <c r="H37" s="55"/>
      <c r="I37" s="55"/>
      <c r="J37" s="55"/>
      <c r="K37" s="55"/>
      <c r="L37" s="55"/>
      <c r="M37" s="55"/>
      <c r="N37" s="55"/>
      <c r="O37" s="55"/>
      <c r="P37" s="55"/>
      <c r="Q37" s="55"/>
      <c r="R37" s="55"/>
      <c r="S37" s="571"/>
      <c r="AK37" s="92"/>
      <c r="AL37" s="92"/>
      <c r="AM37" s="92"/>
      <c r="AN37" s="92"/>
      <c r="AO37" s="92"/>
      <c r="AP37" s="92"/>
      <c r="AQ37" s="38"/>
      <c r="AR37" s="92"/>
      <c r="AS37" s="92"/>
      <c r="AT37" s="92"/>
      <c r="AU37" s="92"/>
    </row>
    <row r="38" spans="2:48" ht="63.75" customHeight="1" x14ac:dyDescent="0.25">
      <c r="B38" s="574"/>
      <c r="C38" s="55"/>
      <c r="D38" s="55"/>
      <c r="E38" s="55"/>
      <c r="F38" s="55"/>
      <c r="G38" s="55"/>
      <c r="H38" s="55"/>
      <c r="I38" s="55"/>
      <c r="J38" s="55"/>
      <c r="K38" s="55"/>
      <c r="L38" s="55"/>
      <c r="M38" s="55"/>
      <c r="N38" s="55"/>
      <c r="O38" s="55"/>
      <c r="P38" s="55"/>
      <c r="Q38" s="55"/>
      <c r="R38" s="55"/>
      <c r="S38" s="571"/>
      <c r="W38" s="92"/>
      <c r="AJ38" s="38"/>
      <c r="AQ38" s="38"/>
    </row>
    <row r="39" spans="2:48" s="102" customFormat="1" ht="6.75" customHeight="1" x14ac:dyDescent="0.25">
      <c r="B39" s="574"/>
      <c r="C39" s="55"/>
      <c r="D39" s="55"/>
      <c r="E39" s="55"/>
      <c r="F39" s="55"/>
      <c r="G39" s="55"/>
      <c r="H39" s="560"/>
      <c r="I39" s="560"/>
      <c r="J39" s="560"/>
      <c r="K39" s="560"/>
      <c r="L39" s="560"/>
      <c r="M39" s="560"/>
      <c r="N39" s="560"/>
      <c r="O39" s="55"/>
      <c r="P39" s="55"/>
      <c r="Q39" s="55"/>
      <c r="R39" s="55"/>
      <c r="S39" s="571"/>
      <c r="AK39" s="92"/>
      <c r="AL39" s="92"/>
      <c r="AM39" s="92"/>
      <c r="AN39" s="92"/>
      <c r="AO39" s="92"/>
      <c r="AP39" s="92"/>
      <c r="AQ39" s="38"/>
      <c r="AR39" s="92"/>
      <c r="AS39" s="92"/>
      <c r="AT39" s="92"/>
      <c r="AU39" s="92"/>
    </row>
    <row r="40" spans="2:48" x14ac:dyDescent="0.25">
      <c r="B40" s="574"/>
      <c r="C40" s="55"/>
      <c r="D40" s="55"/>
      <c r="E40" s="55"/>
      <c r="F40" s="55"/>
      <c r="G40" s="55"/>
      <c r="H40" s="55"/>
      <c r="I40" s="55"/>
      <c r="J40" s="55"/>
      <c r="K40" s="55"/>
      <c r="L40" s="55"/>
      <c r="M40" s="55"/>
      <c r="N40" s="55"/>
      <c r="O40" s="55"/>
      <c r="P40" s="55"/>
      <c r="Q40" s="55"/>
      <c r="R40" s="55"/>
      <c r="S40" s="571"/>
      <c r="AQ40" s="38"/>
    </row>
    <row r="41" spans="2:48" x14ac:dyDescent="0.25">
      <c r="B41" s="574"/>
      <c r="C41" s="55"/>
      <c r="D41" s="55"/>
      <c r="E41" s="55"/>
      <c r="F41" s="55"/>
      <c r="G41" s="55"/>
      <c r="H41" s="55"/>
      <c r="I41" s="55"/>
      <c r="J41" s="55"/>
      <c r="K41" s="55"/>
      <c r="L41" s="55"/>
      <c r="M41" s="55"/>
      <c r="N41" s="55"/>
      <c r="O41" s="55"/>
      <c r="P41" s="55"/>
      <c r="Q41" s="55"/>
      <c r="R41" s="55"/>
      <c r="S41" s="571"/>
      <c r="AQ41" s="38"/>
    </row>
    <row r="42" spans="2:48" ht="3.75" customHeight="1" x14ac:dyDescent="0.25">
      <c r="B42" s="574"/>
      <c r="C42" s="55"/>
      <c r="D42" s="55"/>
      <c r="E42" s="55"/>
      <c r="F42" s="55"/>
      <c r="G42" s="55"/>
      <c r="H42" s="55"/>
      <c r="I42" s="55"/>
      <c r="J42" s="55"/>
      <c r="K42" s="55"/>
      <c r="L42" s="55"/>
      <c r="M42" s="55"/>
      <c r="N42" s="55"/>
      <c r="O42" s="55"/>
      <c r="P42" s="55"/>
      <c r="Q42" s="55"/>
      <c r="R42" s="55"/>
      <c r="S42" s="571"/>
      <c r="AQ42" s="38"/>
    </row>
    <row r="43" spans="2:48" ht="15.75" thickBot="1" x14ac:dyDescent="0.3">
      <c r="B43" s="575"/>
      <c r="C43" s="576"/>
      <c r="D43" s="576"/>
      <c r="E43" s="576"/>
      <c r="F43" s="576"/>
      <c r="G43" s="576"/>
      <c r="H43" s="576"/>
      <c r="I43" s="576"/>
      <c r="J43" s="576"/>
      <c r="K43" s="576"/>
      <c r="L43" s="576"/>
      <c r="M43" s="576"/>
      <c r="N43" s="576"/>
      <c r="O43" s="576"/>
      <c r="P43" s="576"/>
      <c r="Q43" s="576"/>
      <c r="R43" s="576"/>
      <c r="S43" s="577"/>
      <c r="AQ43" s="38"/>
    </row>
    <row r="44" spans="2:48" x14ac:dyDescent="0.25">
      <c r="C44" s="1"/>
      <c r="D44" s="1"/>
      <c r="E44" s="1"/>
      <c r="F44" s="1"/>
      <c r="G44" s="1"/>
      <c r="H44" s="1"/>
      <c r="I44" s="1"/>
      <c r="J44" s="1"/>
      <c r="K44" s="1"/>
      <c r="L44" s="1"/>
      <c r="M44" s="1"/>
      <c r="N44" s="1"/>
      <c r="O44" s="1"/>
      <c r="P44" s="1"/>
      <c r="Q44" s="1"/>
      <c r="R44" s="1"/>
      <c r="AQ44" s="38"/>
    </row>
    <row r="45" spans="2:48" x14ac:dyDescent="0.25">
      <c r="AQ45" s="38"/>
    </row>
    <row r="46" spans="2:48" x14ac:dyDescent="0.25">
      <c r="AQ46" s="38"/>
    </row>
    <row r="47" spans="2:48" x14ac:dyDescent="0.25">
      <c r="AQ47" s="38"/>
    </row>
    <row r="86" spans="27:29" x14ac:dyDescent="0.25">
      <c r="AA86" s="20"/>
      <c r="AB86" s="20"/>
      <c r="AC86" s="20"/>
    </row>
    <row r="87" spans="27:29" x14ac:dyDescent="0.25">
      <c r="AA87" s="20"/>
      <c r="AB87" s="20"/>
    </row>
    <row r="88" spans="27:29" x14ac:dyDescent="0.25">
      <c r="AA88" s="20"/>
      <c r="AB88" s="20"/>
    </row>
  </sheetData>
  <mergeCells count="3">
    <mergeCell ref="C4:L4"/>
    <mergeCell ref="C5:L5"/>
    <mergeCell ref="C3:R3"/>
  </mergeCells>
  <conditionalFormatting sqref="H39:N39">
    <cfRule type="dataBar" priority="42">
      <dataBar>
        <cfvo type="min"/>
        <cfvo type="max"/>
        <color rgb="FFFF555A"/>
      </dataBar>
      <extLst>
        <ext xmlns:x14="http://schemas.microsoft.com/office/spreadsheetml/2009/9/main" uri="{B025F937-C7B1-47D3-B67F-A62EFF666E3E}">
          <x14:id>{F174D678-78A6-4A64-A3E5-2C9B0199D5F0}</x14:id>
        </ext>
      </extLst>
    </cfRule>
  </conditionalFormatting>
  <conditionalFormatting sqref="H39:N39">
    <cfRule type="dataBar" priority="39">
      <dataBar>
        <cfvo type="min"/>
        <cfvo type="max"/>
        <color rgb="FF638EC6"/>
      </dataBar>
      <extLst>
        <ext xmlns:x14="http://schemas.microsoft.com/office/spreadsheetml/2009/9/main" uri="{B025F937-C7B1-47D3-B67F-A62EFF666E3E}">
          <x14:id>{A31193C6-C1E8-438E-B163-C3DA439593F8}</x14:id>
        </ext>
      </extLst>
    </cfRule>
  </conditionalFormatting>
  <conditionalFormatting sqref="J13:N13">
    <cfRule type="dataBar" priority="11">
      <dataBar>
        <cfvo type="min"/>
        <cfvo type="max"/>
        <color rgb="FF92D050"/>
      </dataBar>
      <extLst>
        <ext xmlns:x14="http://schemas.microsoft.com/office/spreadsheetml/2009/9/main" uri="{B025F937-C7B1-47D3-B67F-A62EFF666E3E}">
          <x14:id>{938D206A-1D1B-4DA8-A5FB-0D54E544BB1D}</x14:id>
        </ext>
      </extLst>
    </cfRule>
  </conditionalFormatting>
  <conditionalFormatting sqref="J14:N14">
    <cfRule type="dataBar" priority="10">
      <dataBar>
        <cfvo type="min"/>
        <cfvo type="max"/>
        <color rgb="FF92D050"/>
      </dataBar>
      <extLst>
        <ext xmlns:x14="http://schemas.microsoft.com/office/spreadsheetml/2009/9/main" uri="{B025F937-C7B1-47D3-B67F-A62EFF666E3E}">
          <x14:id>{951BBFFD-FF56-45BD-A547-D4AED659905D}</x14:id>
        </ext>
      </extLst>
    </cfRule>
  </conditionalFormatting>
  <conditionalFormatting sqref="L18:L27">
    <cfRule type="dataBar" priority="2">
      <dataBar>
        <cfvo type="num" val="0"/>
        <cfvo type="num" val="$L$27"/>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K18:K27">
    <cfRule type="dataBar" priority="3">
      <dataBar>
        <cfvo type="num" val="0"/>
        <cfvo type="num" val="$K$27"/>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L18:L27">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K18:K27">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M18:N27">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M18:N27">
    <cfRule type="dataBar" priority="8">
      <dataBar>
        <cfvo type="num" val="0"/>
        <cfvo type="num" val="$M$27"/>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pageMargins left="0.15748031496063" right="0.15748031496063" top="0.15748031496063" bottom="0.15748031496063" header="0" footer="0"/>
  <pageSetup paperSize="9" scale="82" orientation="landscape" r:id="rId1"/>
  <ignoredErrors>
    <ignoredError sqref="M18:M28 N28" calculatedColum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H39:N39</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H39:N39</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J13:N13</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J14:N14</xm:sqref>
        </x14:conditionalFormatting>
        <x14:conditionalFormatting xmlns:xm="http://schemas.microsoft.com/office/excel/2006/main">
          <x14:cfRule type="dataBar" id="{836A86FA-4273-414F-B8A7-16ABA8AB2246}">
            <x14:dataBar minLength="0" maxLength="100">
              <x14:cfvo type="num">
                <xm:f>0</xm:f>
              </x14:cfvo>
              <x14:cfvo type="num">
                <xm:f>$L$27</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L18:L27</xm:sqref>
        </x14:conditionalFormatting>
        <x14:conditionalFormatting xmlns:xm="http://schemas.microsoft.com/office/excel/2006/main">
          <x14:cfRule type="dataBar" id="{8955BAD0-A787-42FD-858A-4CE26C249507}">
            <x14:dataBar minLength="0" maxLength="100">
              <x14:cfvo type="num">
                <xm:f>0</xm:f>
              </x14:cfvo>
              <x14:cfvo type="num">
                <xm:f>$K$27</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K18:K27</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L18:L27</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K18:K27</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M18:N27</xm:sqref>
        </x14:conditionalFormatting>
        <x14:conditionalFormatting xmlns:xm="http://schemas.microsoft.com/office/excel/2006/main">
          <x14:cfRule type="dataBar" id="{CABE5386-E5E0-489F-8BC9-F71149903AAB}">
            <x14:dataBar minLength="0" maxLength="100" gradient="0">
              <x14:cfvo type="num">
                <xm:f>0</xm:f>
              </x14:cfvo>
              <x14:cfvo type="num">
                <xm:f>$M$27</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M18:N27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39"/>
  <sheetViews>
    <sheetView zoomScale="80" zoomScaleNormal="80" workbookViewId="0">
      <selection activeCell="E31" sqref="E31"/>
    </sheetView>
  </sheetViews>
  <sheetFormatPr defaultColWidth="9.140625" defaultRowHeight="15" x14ac:dyDescent="0.25"/>
  <cols>
    <col min="1" max="1" width="14.140625" style="1" customWidth="1"/>
    <col min="2" max="2" width="21.140625" style="1" customWidth="1"/>
    <col min="3" max="3" width="33.85546875" style="1" customWidth="1"/>
    <col min="4" max="4" width="25.7109375" style="342" customWidth="1"/>
    <col min="5" max="5" width="24.5703125" style="329" customWidth="1"/>
    <col min="6" max="6" width="19.7109375" style="329" customWidth="1"/>
    <col min="7" max="7" width="16" style="345" customWidth="1"/>
    <col min="8" max="8" width="9.140625" style="1"/>
    <col min="9" max="9" width="35.7109375" style="1" customWidth="1"/>
    <col min="10" max="16384" width="9.140625" style="1"/>
  </cols>
  <sheetData>
    <row r="1" spans="1:11" ht="23.25" x14ac:dyDescent="0.35">
      <c r="A1" s="798" t="s">
        <v>804</v>
      </c>
      <c r="B1" s="798"/>
      <c r="C1" s="798"/>
      <c r="D1" s="326"/>
      <c r="E1" s="340"/>
      <c r="F1" s="340"/>
      <c r="G1" s="343"/>
      <c r="H1" s="326"/>
    </row>
    <row r="2" spans="1:11" x14ac:dyDescent="0.25">
      <c r="A2" s="327">
        <f>Report_Date</f>
        <v>42339</v>
      </c>
      <c r="B2" s="327"/>
      <c r="C2" s="327"/>
      <c r="D2" s="327"/>
      <c r="E2" s="341"/>
      <c r="F2" s="341"/>
      <c r="G2" s="344"/>
      <c r="H2" s="327"/>
    </row>
    <row r="4" spans="1:11" x14ac:dyDescent="0.25">
      <c r="A4" s="328" t="s">
        <v>355</v>
      </c>
      <c r="B4" s="1" t="s">
        <v>358</v>
      </c>
    </row>
    <row r="5" spans="1:11" x14ac:dyDescent="0.25">
      <c r="A5" s="328" t="s">
        <v>24</v>
      </c>
      <c r="B5" s="1" t="s">
        <v>799</v>
      </c>
    </row>
    <row r="7" spans="1:11" x14ac:dyDescent="0.25">
      <c r="A7" s="742" t="s">
        <v>0</v>
      </c>
      <c r="B7" s="743" t="s">
        <v>9</v>
      </c>
      <c r="C7" s="744" t="s">
        <v>8</v>
      </c>
      <c r="D7" s="746" t="s">
        <v>675</v>
      </c>
      <c r="E7" s="734" t="s">
        <v>844</v>
      </c>
      <c r="F7" s="733" t="s">
        <v>836</v>
      </c>
      <c r="G7" s="732" t="s">
        <v>851</v>
      </c>
      <c r="H7"/>
      <c r="I7"/>
    </row>
    <row r="8" spans="1:11" x14ac:dyDescent="0.25">
      <c r="A8" s="799" t="s">
        <v>14</v>
      </c>
      <c r="B8" s="735" t="s">
        <v>40</v>
      </c>
      <c r="C8" s="737" t="s">
        <v>127</v>
      </c>
      <c r="D8" s="727">
        <v>1154</v>
      </c>
      <c r="E8" s="728">
        <v>4218</v>
      </c>
      <c r="F8" s="727">
        <v>1</v>
      </c>
      <c r="G8" s="729">
        <v>0.66551126516464476</v>
      </c>
      <c r="H8"/>
      <c r="I8"/>
    </row>
    <row r="9" spans="1:11" x14ac:dyDescent="0.25">
      <c r="A9" s="800"/>
      <c r="B9" s="736" t="s">
        <v>39</v>
      </c>
      <c r="C9" s="737" t="s">
        <v>126</v>
      </c>
      <c r="D9" s="66">
        <v>21</v>
      </c>
      <c r="E9" s="346">
        <v>122</v>
      </c>
      <c r="F9" s="66">
        <v>1</v>
      </c>
      <c r="G9" s="730">
        <v>1</v>
      </c>
      <c r="H9"/>
      <c r="I9"/>
    </row>
    <row r="10" spans="1:11" s="329" customFormat="1" x14ac:dyDescent="0.25">
      <c r="A10" s="800"/>
      <c r="B10" s="736" t="s">
        <v>42</v>
      </c>
      <c r="C10" s="737" t="s">
        <v>129</v>
      </c>
      <c r="D10" s="66">
        <v>1152</v>
      </c>
      <c r="E10" s="346">
        <v>5060</v>
      </c>
      <c r="F10" s="66">
        <v>1</v>
      </c>
      <c r="G10" s="730">
        <v>0.84027777777777779</v>
      </c>
      <c r="H10"/>
      <c r="I10"/>
    </row>
    <row r="11" spans="1:11" x14ac:dyDescent="0.25">
      <c r="A11" s="800"/>
      <c r="B11" s="736" t="s">
        <v>41</v>
      </c>
      <c r="C11" s="737" t="s">
        <v>128</v>
      </c>
      <c r="D11" s="66">
        <v>1563</v>
      </c>
      <c r="E11" s="346">
        <v>7477</v>
      </c>
      <c r="F11" s="66">
        <v>1</v>
      </c>
      <c r="G11" s="730">
        <v>1</v>
      </c>
      <c r="H11"/>
      <c r="I11"/>
    </row>
    <row r="12" spans="1:11" x14ac:dyDescent="0.25">
      <c r="A12" s="800"/>
      <c r="B12" s="757" t="s">
        <v>43</v>
      </c>
      <c r="C12" s="737" t="s">
        <v>130</v>
      </c>
      <c r="D12" s="303">
        <v>794</v>
      </c>
      <c r="E12" s="362">
        <v>2668</v>
      </c>
      <c r="F12" s="303">
        <v>1</v>
      </c>
      <c r="G12" s="731">
        <v>1</v>
      </c>
      <c r="H12"/>
      <c r="I12"/>
    </row>
    <row r="13" spans="1:11" x14ac:dyDescent="0.25">
      <c r="A13" s="801" t="s">
        <v>668</v>
      </c>
      <c r="B13" s="802"/>
      <c r="C13" s="803"/>
      <c r="D13" s="363">
        <v>4684</v>
      </c>
      <c r="E13" s="361">
        <v>19545</v>
      </c>
      <c r="F13" s="357">
        <v>5</v>
      </c>
      <c r="G13" s="358">
        <v>4.505789042942423</v>
      </c>
      <c r="H13"/>
      <c r="I13"/>
    </row>
    <row r="14" spans="1:11" x14ac:dyDescent="0.25">
      <c r="A14" s="799" t="s">
        <v>19</v>
      </c>
      <c r="B14" s="736" t="s">
        <v>61</v>
      </c>
      <c r="C14" s="757" t="s">
        <v>150</v>
      </c>
      <c r="D14" s="66">
        <v>397</v>
      </c>
      <c r="E14" s="346">
        <v>2049</v>
      </c>
      <c r="F14" s="66">
        <v>1</v>
      </c>
      <c r="G14" s="730">
        <v>1</v>
      </c>
      <c r="H14"/>
      <c r="I14"/>
    </row>
    <row r="15" spans="1:11" x14ac:dyDescent="0.25">
      <c r="A15" s="800"/>
      <c r="B15" s="736" t="s">
        <v>650</v>
      </c>
      <c r="C15" s="757" t="s">
        <v>652</v>
      </c>
      <c r="D15" s="66">
        <v>997</v>
      </c>
      <c r="E15" s="346">
        <v>4851</v>
      </c>
      <c r="F15" s="66">
        <v>1</v>
      </c>
      <c r="G15" s="730">
        <v>1</v>
      </c>
      <c r="H15"/>
      <c r="I15"/>
    </row>
    <row r="16" spans="1:11" x14ac:dyDescent="0.25">
      <c r="A16" s="800"/>
      <c r="B16" s="736" t="s">
        <v>651</v>
      </c>
      <c r="C16" s="757" t="s">
        <v>653</v>
      </c>
      <c r="D16" s="66">
        <v>1297</v>
      </c>
      <c r="E16" s="346">
        <v>6917</v>
      </c>
      <c r="F16" s="66">
        <v>1</v>
      </c>
      <c r="G16" s="730">
        <v>1</v>
      </c>
      <c r="H16"/>
      <c r="I16"/>
      <c r="K16" s="1" t="s">
        <v>805</v>
      </c>
    </row>
    <row r="17" spans="1:9" x14ac:dyDescent="0.25">
      <c r="A17" s="800"/>
      <c r="B17" s="736" t="s">
        <v>63</v>
      </c>
      <c r="C17" s="757" t="s">
        <v>152</v>
      </c>
      <c r="D17" s="66">
        <v>1397</v>
      </c>
      <c r="E17" s="346">
        <v>8189</v>
      </c>
      <c r="F17" s="66">
        <v>1</v>
      </c>
      <c r="G17" s="730">
        <v>1</v>
      </c>
      <c r="H17"/>
      <c r="I17"/>
    </row>
    <row r="18" spans="1:9" x14ac:dyDescent="0.25">
      <c r="A18" s="800"/>
      <c r="B18" s="736" t="s">
        <v>64</v>
      </c>
      <c r="C18" s="757" t="s">
        <v>153</v>
      </c>
      <c r="D18" s="66">
        <v>799</v>
      </c>
      <c r="E18" s="346">
        <v>4354</v>
      </c>
      <c r="F18" s="66">
        <v>1</v>
      </c>
      <c r="G18" s="730">
        <v>1</v>
      </c>
      <c r="H18"/>
      <c r="I18"/>
    </row>
    <row r="19" spans="1:9" x14ac:dyDescent="0.25">
      <c r="A19" s="800"/>
      <c r="B19" s="736" t="s">
        <v>649</v>
      </c>
      <c r="C19" s="757" t="s">
        <v>284</v>
      </c>
      <c r="D19" s="66">
        <v>624</v>
      </c>
      <c r="E19" s="346">
        <v>3352</v>
      </c>
      <c r="F19" s="66">
        <v>1</v>
      </c>
      <c r="G19" s="730">
        <v>1</v>
      </c>
      <c r="H19"/>
      <c r="I19"/>
    </row>
    <row r="20" spans="1:9" x14ac:dyDescent="0.25">
      <c r="A20" s="800"/>
      <c r="B20" s="736" t="s">
        <v>654</v>
      </c>
      <c r="C20" s="757" t="s">
        <v>561</v>
      </c>
      <c r="D20" s="66">
        <v>649</v>
      </c>
      <c r="E20" s="346">
        <v>3389</v>
      </c>
      <c r="F20" s="66">
        <v>1</v>
      </c>
      <c r="G20" s="730">
        <v>0.98613251155624038</v>
      </c>
      <c r="H20"/>
      <c r="I20"/>
    </row>
    <row r="21" spans="1:9" x14ac:dyDescent="0.25">
      <c r="A21" s="800"/>
      <c r="B21" s="736" t="s">
        <v>655</v>
      </c>
      <c r="C21" s="757" t="s">
        <v>657</v>
      </c>
      <c r="D21" s="66">
        <v>2629</v>
      </c>
      <c r="E21" s="346">
        <v>13655</v>
      </c>
      <c r="F21" s="66">
        <v>1</v>
      </c>
      <c r="G21" s="730">
        <v>1</v>
      </c>
      <c r="H21"/>
      <c r="I21"/>
    </row>
    <row r="22" spans="1:9" x14ac:dyDescent="0.25">
      <c r="A22" s="800"/>
      <c r="B22" s="736" t="s">
        <v>656</v>
      </c>
      <c r="C22" s="757" t="s">
        <v>658</v>
      </c>
      <c r="D22" s="66">
        <v>2243</v>
      </c>
      <c r="E22" s="346">
        <v>12225</v>
      </c>
      <c r="F22" s="66">
        <v>1</v>
      </c>
      <c r="G22" s="730">
        <v>1</v>
      </c>
      <c r="H22"/>
      <c r="I22"/>
    </row>
    <row r="23" spans="1:9" x14ac:dyDescent="0.25">
      <c r="A23" s="800"/>
      <c r="B23" s="736" t="s">
        <v>659</v>
      </c>
      <c r="C23" s="757" t="s">
        <v>661</v>
      </c>
      <c r="D23" s="66">
        <v>249</v>
      </c>
      <c r="E23" s="346">
        <v>1282</v>
      </c>
      <c r="F23" s="66">
        <v>1</v>
      </c>
      <c r="G23" s="730">
        <v>1</v>
      </c>
      <c r="H23"/>
      <c r="I23"/>
    </row>
    <row r="24" spans="1:9" x14ac:dyDescent="0.25">
      <c r="A24" s="800"/>
      <c r="B24" s="736" t="s">
        <v>660</v>
      </c>
      <c r="C24" s="757" t="s">
        <v>662</v>
      </c>
      <c r="D24" s="66">
        <v>418</v>
      </c>
      <c r="E24" s="346">
        <v>2200</v>
      </c>
      <c r="F24" s="66">
        <v>1</v>
      </c>
      <c r="G24" s="730">
        <v>1</v>
      </c>
      <c r="H24"/>
      <c r="I24"/>
    </row>
    <row r="25" spans="1:9" x14ac:dyDescent="0.25">
      <c r="A25" s="800"/>
      <c r="B25" s="736" t="s">
        <v>67</v>
      </c>
      <c r="C25" s="757" t="s">
        <v>156</v>
      </c>
      <c r="D25" s="66">
        <v>2436</v>
      </c>
      <c r="E25" s="346">
        <v>12178</v>
      </c>
      <c r="F25" s="66">
        <v>1</v>
      </c>
      <c r="G25" s="730">
        <v>1</v>
      </c>
      <c r="H25"/>
      <c r="I25"/>
    </row>
    <row r="26" spans="1:9" x14ac:dyDescent="0.25">
      <c r="A26" s="800"/>
      <c r="B26" s="736" t="s">
        <v>78</v>
      </c>
      <c r="C26" s="757" t="s">
        <v>167</v>
      </c>
      <c r="D26" s="66">
        <v>72</v>
      </c>
      <c r="E26" s="346">
        <v>462</v>
      </c>
      <c r="F26" s="66">
        <v>1</v>
      </c>
      <c r="G26" s="730">
        <v>1</v>
      </c>
      <c r="H26"/>
      <c r="I26"/>
    </row>
    <row r="27" spans="1:9" x14ac:dyDescent="0.25">
      <c r="A27" s="800"/>
      <c r="B27" s="736" t="s">
        <v>248</v>
      </c>
      <c r="C27" s="757" t="s">
        <v>285</v>
      </c>
      <c r="D27" s="66">
        <v>151</v>
      </c>
      <c r="E27" s="346">
        <v>640</v>
      </c>
      <c r="F27" s="66">
        <v>1</v>
      </c>
      <c r="G27" s="730">
        <v>1</v>
      </c>
      <c r="H27"/>
      <c r="I27"/>
    </row>
    <row r="28" spans="1:9" x14ac:dyDescent="0.25">
      <c r="A28" s="800"/>
      <c r="B28" s="736" t="s">
        <v>68</v>
      </c>
      <c r="C28" s="757" t="s">
        <v>157</v>
      </c>
      <c r="D28" s="66">
        <v>2145</v>
      </c>
      <c r="E28" s="346">
        <v>11663</v>
      </c>
      <c r="F28" s="66">
        <v>1</v>
      </c>
      <c r="G28" s="730">
        <v>0</v>
      </c>
      <c r="H28"/>
      <c r="I28"/>
    </row>
    <row r="29" spans="1:9" x14ac:dyDescent="0.25">
      <c r="A29" s="800"/>
      <c r="B29" s="757" t="s">
        <v>70</v>
      </c>
      <c r="C29" s="757" t="s">
        <v>159</v>
      </c>
      <c r="D29" s="303">
        <v>984</v>
      </c>
      <c r="E29" s="362">
        <v>5656</v>
      </c>
      <c r="F29" s="303">
        <v>1</v>
      </c>
      <c r="G29" s="731">
        <v>1</v>
      </c>
      <c r="H29"/>
      <c r="I29"/>
    </row>
    <row r="30" spans="1:9" x14ac:dyDescent="0.25">
      <c r="A30" s="801" t="s">
        <v>665</v>
      </c>
      <c r="B30" s="802"/>
      <c r="C30" s="803"/>
      <c r="D30" s="359">
        <v>17487</v>
      </c>
      <c r="E30" s="361">
        <v>93062</v>
      </c>
      <c r="F30" s="356">
        <v>16</v>
      </c>
      <c r="G30" s="358">
        <v>14.98613251155624</v>
      </c>
      <c r="H30"/>
      <c r="I30"/>
    </row>
    <row r="31" spans="1:9" x14ac:dyDescent="0.25">
      <c r="A31" s="782" t="s">
        <v>915</v>
      </c>
      <c r="B31" s="736" t="s">
        <v>37</v>
      </c>
      <c r="C31" s="757" t="s">
        <v>124</v>
      </c>
      <c r="D31" s="66">
        <v>42</v>
      </c>
      <c r="E31" s="346">
        <v>198</v>
      </c>
      <c r="F31" s="66">
        <v>1</v>
      </c>
      <c r="G31" s="730">
        <v>1</v>
      </c>
      <c r="H31"/>
      <c r="I31"/>
    </row>
    <row r="32" spans="1:9" x14ac:dyDescent="0.25">
      <c r="A32" s="784"/>
      <c r="B32" s="757" t="s">
        <v>38</v>
      </c>
      <c r="C32" s="757" t="s">
        <v>125</v>
      </c>
      <c r="D32" s="303">
        <v>682</v>
      </c>
      <c r="E32" s="362">
        <v>2815</v>
      </c>
      <c r="F32" s="303">
        <v>1</v>
      </c>
      <c r="G32" s="731">
        <v>1</v>
      </c>
      <c r="H32"/>
      <c r="I32"/>
    </row>
    <row r="33" spans="1:9" x14ac:dyDescent="0.25">
      <c r="A33" s="804" t="s">
        <v>916</v>
      </c>
      <c r="B33" s="805"/>
      <c r="C33" s="806"/>
      <c r="D33" s="359">
        <v>724</v>
      </c>
      <c r="E33" s="361">
        <v>3013</v>
      </c>
      <c r="F33" s="356">
        <v>2</v>
      </c>
      <c r="G33" s="358">
        <v>2</v>
      </c>
      <c r="H33"/>
      <c r="I33"/>
    </row>
    <row r="34" spans="1:9" x14ac:dyDescent="0.25">
      <c r="A34" s="807" t="s">
        <v>215</v>
      </c>
      <c r="B34" s="808"/>
      <c r="C34" s="809"/>
      <c r="D34" s="360">
        <v>22895</v>
      </c>
      <c r="E34" s="362">
        <v>115620</v>
      </c>
      <c r="F34" s="303">
        <v>23</v>
      </c>
      <c r="G34" s="358">
        <v>21.491921554498663</v>
      </c>
      <c r="H34"/>
      <c r="I34"/>
    </row>
    <row r="35" spans="1:9" x14ac:dyDescent="0.25">
      <c r="A35"/>
      <c r="B35"/>
      <c r="C35"/>
      <c r="D35"/>
      <c r="E35"/>
      <c r="F35"/>
      <c r="G35"/>
    </row>
    <row r="36" spans="1:9" x14ac:dyDescent="0.25">
      <c r="A36"/>
      <c r="B36"/>
      <c r="C36"/>
      <c r="D36"/>
      <c r="E36"/>
      <c r="F36"/>
      <c r="G36"/>
    </row>
    <row r="37" spans="1:9" x14ac:dyDescent="0.25">
      <c r="A37"/>
      <c r="B37"/>
      <c r="C37"/>
      <c r="D37"/>
      <c r="E37"/>
      <c r="F37"/>
      <c r="G37"/>
    </row>
    <row r="38" spans="1:9" x14ac:dyDescent="0.25">
      <c r="A38"/>
      <c r="B38"/>
      <c r="C38"/>
      <c r="D38"/>
      <c r="E38"/>
      <c r="F38"/>
      <c r="G38"/>
    </row>
    <row r="39" spans="1:9" x14ac:dyDescent="0.25">
      <c r="A39"/>
      <c r="B39"/>
      <c r="C39"/>
      <c r="D39"/>
      <c r="E39"/>
      <c r="F39"/>
      <c r="G39"/>
    </row>
  </sheetData>
  <mergeCells count="8">
    <mergeCell ref="A8:A12"/>
    <mergeCell ref="A13:C13"/>
    <mergeCell ref="A14:A29"/>
    <mergeCell ref="A30:C30"/>
    <mergeCell ref="A31:A32"/>
    <mergeCell ref="A33:C33"/>
    <mergeCell ref="A34:C34"/>
    <mergeCell ref="A1:C1"/>
  </mergeCells>
  <pageMargins left="0.7" right="0.7" top="0.75" bottom="0.75" header="0.3" footer="0.3"/>
  <pageSetup paperSize="9" scale="62"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zoomScale="80" zoomScaleNormal="80" workbookViewId="0">
      <selection activeCell="J2" sqref="J2"/>
    </sheetView>
  </sheetViews>
  <sheetFormatPr defaultRowHeight="15" x14ac:dyDescent="0.25"/>
  <cols>
    <col min="1" max="1" width="12.85546875" style="132" customWidth="1"/>
    <col min="2" max="2" width="22.5703125" customWidth="1"/>
    <col min="3" max="3" width="25" customWidth="1"/>
    <col min="4" max="4" width="13.42578125" customWidth="1"/>
    <col min="5" max="5" width="17.140625" customWidth="1"/>
    <col min="6" max="6" width="23.28515625" customWidth="1"/>
    <col min="7" max="9" width="16.42578125" customWidth="1"/>
    <col min="10" max="12" width="19.28515625" customWidth="1"/>
    <col min="13" max="13" width="15" customWidth="1"/>
    <col min="14" max="14" width="15.7109375" customWidth="1"/>
    <col min="15" max="15" width="11.85546875" customWidth="1"/>
    <col min="16" max="16" width="19.5703125" style="102" customWidth="1"/>
    <col min="17" max="19" width="12.85546875" style="102" customWidth="1"/>
    <col min="20" max="20" width="14" customWidth="1"/>
    <col min="21" max="21" width="14" style="102" customWidth="1"/>
    <col min="22" max="22" width="17.5703125" style="5" customWidth="1"/>
    <col min="23" max="23" width="12.7109375" style="130" customWidth="1"/>
    <col min="24" max="24" width="15.28515625" customWidth="1"/>
  </cols>
  <sheetData>
    <row r="1" spans="1:61" s="1" customFormat="1" ht="36" x14ac:dyDescent="0.25">
      <c r="A1" s="237"/>
      <c r="B1" s="208"/>
      <c r="C1" s="208"/>
      <c r="D1" s="208"/>
      <c r="E1" s="208"/>
      <c r="F1" s="208"/>
      <c r="G1" s="208"/>
      <c r="H1" s="208"/>
      <c r="I1" s="208"/>
      <c r="J1" s="208"/>
      <c r="K1" s="208"/>
      <c r="L1" s="208"/>
      <c r="M1" s="208"/>
      <c r="N1" s="208"/>
      <c r="O1" s="208"/>
      <c r="P1" s="208"/>
      <c r="Q1" s="208"/>
      <c r="R1" s="208"/>
      <c r="S1" s="208"/>
      <c r="T1" s="238"/>
      <c r="U1" s="238"/>
      <c r="V1" s="238"/>
      <c r="W1" s="239"/>
      <c r="X1" s="204"/>
      <c r="BH1" s="80"/>
      <c r="BI1" s="80"/>
    </row>
    <row r="2" spans="1:61" s="1" customFormat="1" ht="36" x14ac:dyDescent="0.25">
      <c r="A2" s="766" t="s">
        <v>819</v>
      </c>
      <c r="B2" s="767"/>
      <c r="C2" s="767"/>
      <c r="D2" s="79"/>
      <c r="E2" s="79"/>
      <c r="F2" s="79"/>
      <c r="G2" s="79"/>
      <c r="H2" s="79"/>
      <c r="I2" s="79"/>
      <c r="J2" s="79"/>
      <c r="K2" s="79"/>
      <c r="L2" s="79"/>
      <c r="M2" s="79"/>
      <c r="N2" s="79"/>
      <c r="O2" s="79"/>
      <c r="P2" s="79"/>
      <c r="Q2" s="79"/>
      <c r="R2" s="79"/>
      <c r="S2" s="79"/>
      <c r="T2" s="240"/>
      <c r="U2" s="240"/>
      <c r="V2" s="240"/>
      <c r="W2" s="241"/>
      <c r="X2" s="204"/>
      <c r="BH2" s="80"/>
      <c r="BI2" s="80"/>
    </row>
    <row r="3" spans="1:61" s="21" customFormat="1" ht="18" customHeight="1" x14ac:dyDescent="0.25">
      <c r="A3" s="810">
        <f>Report_Date</f>
        <v>42339</v>
      </c>
      <c r="B3" s="811"/>
      <c r="C3" s="811"/>
      <c r="D3" s="811"/>
      <c r="E3" s="811"/>
      <c r="F3" s="811"/>
      <c r="G3" s="811"/>
      <c r="H3" s="811"/>
      <c r="I3" s="811"/>
      <c r="J3" s="811"/>
      <c r="K3" s="811"/>
      <c r="L3" s="811"/>
      <c r="M3" s="811"/>
      <c r="N3" s="811"/>
      <c r="O3" s="811"/>
      <c r="P3" s="811"/>
      <c r="Q3" s="811"/>
      <c r="R3" s="811"/>
      <c r="S3" s="712"/>
      <c r="T3" s="657"/>
      <c r="U3" s="657"/>
      <c r="V3" s="657"/>
      <c r="W3" s="241"/>
      <c r="X3" s="204"/>
      <c r="BH3" s="81"/>
      <c r="BI3" s="81"/>
    </row>
    <row r="4" spans="1:61" ht="45.75" customHeight="1" x14ac:dyDescent="0.25">
      <c r="A4" s="658" t="s">
        <v>540</v>
      </c>
      <c r="B4" s="242" t="s">
        <v>202</v>
      </c>
      <c r="C4" s="242" t="s">
        <v>213</v>
      </c>
      <c r="D4" s="242" t="s">
        <v>10</v>
      </c>
      <c r="E4" s="242" t="s">
        <v>1</v>
      </c>
      <c r="F4" s="242" t="s">
        <v>9</v>
      </c>
      <c r="G4" s="242" t="s">
        <v>820</v>
      </c>
      <c r="H4" s="659" t="s">
        <v>538</v>
      </c>
      <c r="I4" s="659" t="s">
        <v>539</v>
      </c>
      <c r="J4" s="243" t="s">
        <v>821</v>
      </c>
      <c r="K4" s="243" t="s">
        <v>822</v>
      </c>
      <c r="L4" s="243" t="s">
        <v>823</v>
      </c>
      <c r="M4" s="244" t="s">
        <v>824</v>
      </c>
      <c r="N4" s="244" t="s">
        <v>825</v>
      </c>
      <c r="O4" s="244" t="s">
        <v>965</v>
      </c>
      <c r="P4" s="637" t="s">
        <v>966</v>
      </c>
      <c r="Q4" s="637" t="s">
        <v>967</v>
      </c>
      <c r="R4" s="637" t="s">
        <v>968</v>
      </c>
      <c r="S4" s="245" t="s">
        <v>826</v>
      </c>
      <c r="T4" s="246" t="s">
        <v>852</v>
      </c>
      <c r="U4" s="246" t="s">
        <v>582</v>
      </c>
      <c r="V4" s="246" t="s">
        <v>355</v>
      </c>
      <c r="W4" s="244" t="s">
        <v>236</v>
      </c>
      <c r="X4" s="244" t="s">
        <v>974</v>
      </c>
      <c r="Y4" s="660" t="s">
        <v>975</v>
      </c>
    </row>
    <row r="5" spans="1:61" x14ac:dyDescent="0.25">
      <c r="A5" s="663">
        <v>42268</v>
      </c>
      <c r="B5" s="424" t="s">
        <v>288</v>
      </c>
      <c r="C5" s="424" t="s">
        <v>288</v>
      </c>
      <c r="D5" s="424" t="s">
        <v>7</v>
      </c>
      <c r="E5" s="426" t="s">
        <v>15</v>
      </c>
      <c r="F5" s="24" t="s">
        <v>54</v>
      </c>
      <c r="G5" s="24">
        <v>1</v>
      </c>
      <c r="H5" s="24">
        <v>17</v>
      </c>
      <c r="I5" s="24">
        <v>17</v>
      </c>
      <c r="J5" s="24"/>
      <c r="K5" s="24"/>
      <c r="L5" s="24"/>
      <c r="M5" s="24"/>
      <c r="N5" s="24"/>
      <c r="O5" s="24"/>
      <c r="P5" s="425"/>
      <c r="Q5" s="425"/>
      <c r="R5" s="640"/>
      <c r="S5" s="640">
        <v>0</v>
      </c>
      <c r="T5" s="640">
        <f ca="1">IF(Data_Shelter_t[[#This Row],[Status]]="Open",Data_Shelter_t[[#This Row],[HH Covered]],0)</f>
        <v>0</v>
      </c>
      <c r="U5" s="640"/>
      <c r="V5" s="642" t="str">
        <f ca="1">IFERROR(OFFSET(Camp_List[Status],MATCH(Data_Shelter_t[[#This Row],[Camp Name]],Camp_List[Camp Name],0)-1,0,1,1),"")</f>
        <v>Open</v>
      </c>
      <c r="W5" s="643">
        <f ca="1">IFERROR(Data_Shelter_t[[#This Row],[HH Covered]]/OFFSET(Camp_List[HH],MATCH(Data_Shelter_t[[#This Row],[Camp Name]],Camp_List[Camp Name],0)-1,0,1,1),"")</f>
        <v>0</v>
      </c>
      <c r="X5" s="640">
        <f>Data_Shelter_t[[#This Row],['# of Permanent House Planned (Target)]]+Data_Shelter_t[[#This Row],['# of Individual Shelter Planned (Target)]]</f>
        <v>0</v>
      </c>
      <c r="Y5" s="666">
        <f>Data_Shelter_t[[#This Row],['# of Permanent House Built]]+Data_Shelter_t[[#This Row],['# of Individual Shelter Built]]</f>
        <v>0</v>
      </c>
    </row>
    <row r="6" spans="1:61" x14ac:dyDescent="0.25">
      <c r="A6" s="663">
        <v>42186</v>
      </c>
      <c r="B6" s="424" t="s">
        <v>296</v>
      </c>
      <c r="C6" s="424" t="s">
        <v>296</v>
      </c>
      <c r="D6" s="424" t="s">
        <v>7</v>
      </c>
      <c r="E6" s="426" t="s">
        <v>17</v>
      </c>
      <c r="F6" s="424" t="s">
        <v>58</v>
      </c>
      <c r="G6" s="31">
        <v>1</v>
      </c>
      <c r="H6" s="424"/>
      <c r="I6" s="424"/>
      <c r="J6" s="31"/>
      <c r="K6" s="31"/>
      <c r="L6" s="31"/>
      <c r="M6" s="31">
        <v>47</v>
      </c>
      <c r="N6" s="31"/>
      <c r="O6" s="424"/>
      <c r="P6" s="424"/>
      <c r="Q6" s="424"/>
      <c r="R6" s="133"/>
      <c r="S6" s="133">
        <v>0</v>
      </c>
      <c r="T6" s="133">
        <f ca="1">IF(Data_Shelter_t[[#This Row],[Status]]="Open",Data_Shelter_t[[#This Row],[HH Covered]],0)</f>
        <v>0</v>
      </c>
      <c r="U6" s="640" t="s">
        <v>146</v>
      </c>
      <c r="V6" s="642" t="str">
        <f ca="1">IFERROR(OFFSET(Camp_List[Status],MATCH(Data_Shelter_t[[#This Row],[Camp Name]],Camp_List[Camp Name],0)-1,0,1,1),"")</f>
        <v>Open</v>
      </c>
      <c r="W6" s="643">
        <f ca="1">IFERROR(Data_Shelter_t[[#This Row],[HH Covered]]/OFFSET(Camp_List[HH],MATCH(Data_Shelter_t[[#This Row],[Camp Name]],Camp_List[Camp Name],0)-1,0,1,1),"")</f>
        <v>0</v>
      </c>
      <c r="X6" s="24">
        <f>Data_Shelter_t[[#This Row],['# of Permanent House Planned (Target)]]+Data_Shelter_t[[#This Row],['# of Individual Shelter Planned (Target)]]</f>
        <v>47</v>
      </c>
      <c r="Y6" s="662">
        <f>Data_Shelter_t[[#This Row],['# of Permanent House Built]]+Data_Shelter_t[[#This Row],['# of Individual Shelter Built]]</f>
        <v>0</v>
      </c>
    </row>
    <row r="7" spans="1:61" x14ac:dyDescent="0.25">
      <c r="A7" s="663">
        <v>42186</v>
      </c>
      <c r="B7" s="424" t="s">
        <v>296</v>
      </c>
      <c r="C7" s="424" t="s">
        <v>296</v>
      </c>
      <c r="D7" s="424" t="s">
        <v>7</v>
      </c>
      <c r="E7" s="426" t="s">
        <v>17</v>
      </c>
      <c r="F7" s="424" t="s">
        <v>973</v>
      </c>
      <c r="G7" s="31">
        <v>1</v>
      </c>
      <c r="H7" s="424"/>
      <c r="I7" s="424"/>
      <c r="J7" s="31"/>
      <c r="K7" s="31"/>
      <c r="L7" s="31"/>
      <c r="M7" s="31">
        <v>53</v>
      </c>
      <c r="N7" s="31"/>
      <c r="O7" s="424"/>
      <c r="P7" s="424"/>
      <c r="Q7" s="424"/>
      <c r="R7" s="133"/>
      <c r="S7" s="133">
        <v>0</v>
      </c>
      <c r="T7" s="133">
        <f ca="1">IF(Data_Shelter_t[[#This Row],[Status]]="Open",Data_Shelter_t[[#This Row],[HH Covered]],0)</f>
        <v>0</v>
      </c>
      <c r="U7" s="640" t="s">
        <v>977</v>
      </c>
      <c r="V7" s="642" t="str">
        <f ca="1">IFERROR(OFFSET(Camp_List[Status],MATCH(Data_Shelter_t[[#This Row],[Camp Name]],Camp_List[Camp Name],0)-1,0,1,1),"")</f>
        <v/>
      </c>
      <c r="W7" s="643" t="str">
        <f ca="1">IFERROR(Data_Shelter_t[[#This Row],[HH Covered]]/OFFSET(Camp_List[HH],MATCH(Data_Shelter_t[[#This Row],[Camp Name]],Camp_List[Camp Name],0)-1,0,1,1),"")</f>
        <v/>
      </c>
      <c r="X7" s="24">
        <f>Data_Shelter_t[[#This Row],['# of Permanent House Planned (Target)]]+Data_Shelter_t[[#This Row],['# of Individual Shelter Planned (Target)]]</f>
        <v>53</v>
      </c>
      <c r="Y7" s="662">
        <f>Data_Shelter_t[[#This Row],['# of Permanent House Built]]+Data_Shelter_t[[#This Row],['# of Individual Shelter Built]]</f>
        <v>0</v>
      </c>
    </row>
    <row r="8" spans="1:61" x14ac:dyDescent="0.25">
      <c r="A8" s="663">
        <v>42186</v>
      </c>
      <c r="B8" s="424" t="s">
        <v>296</v>
      </c>
      <c r="C8" s="424" t="s">
        <v>296</v>
      </c>
      <c r="D8" s="424" t="s">
        <v>7</v>
      </c>
      <c r="E8" s="426" t="s">
        <v>15</v>
      </c>
      <c r="F8" s="424" t="s">
        <v>46</v>
      </c>
      <c r="G8" s="31">
        <v>1</v>
      </c>
      <c r="H8" s="424"/>
      <c r="I8" s="424"/>
      <c r="J8" s="31"/>
      <c r="K8" s="31"/>
      <c r="L8" s="31"/>
      <c r="M8" s="31"/>
      <c r="N8" s="31"/>
      <c r="O8" s="424"/>
      <c r="P8" s="133">
        <v>26</v>
      </c>
      <c r="Q8" s="133">
        <v>26</v>
      </c>
      <c r="R8" s="133"/>
      <c r="S8" s="133">
        <v>26</v>
      </c>
      <c r="T8" s="133">
        <f ca="1">IF(Data_Shelter_t[[#This Row],[Status]]="Open",Data_Shelter_t[[#This Row],[HH Covered]],0)</f>
        <v>26</v>
      </c>
      <c r="U8" s="640" t="s">
        <v>133</v>
      </c>
      <c r="V8" s="642" t="str">
        <f ca="1">IFERROR(OFFSET(Camp_List[Status],MATCH(Data_Shelter_t[[#This Row],[Camp Name]],Camp_List[Camp Name],0)-1,0,1,1),"")</f>
        <v>Open</v>
      </c>
      <c r="W8" s="643">
        <f ca="1">IFERROR(Data_Shelter_t[[#This Row],[HH Covered]]/OFFSET(Camp_List[HH],MATCH(Data_Shelter_t[[#This Row],[Camp Name]],Camp_List[Camp Name],0)-1,0,1,1),"")</f>
        <v>1.0833333333333333</v>
      </c>
      <c r="X8" s="24">
        <f>Data_Shelter_t[[#This Row],['# of Permanent House Planned (Target)]]+Data_Shelter_t[[#This Row],['# of Individual Shelter Planned (Target)]]</f>
        <v>26</v>
      </c>
      <c r="Y8" s="662">
        <f>Data_Shelter_t[[#This Row],['# of Permanent House Built]]+Data_Shelter_t[[#This Row],['# of Individual Shelter Built]]</f>
        <v>26</v>
      </c>
    </row>
    <row r="9" spans="1:61" x14ac:dyDescent="0.25">
      <c r="A9" s="663">
        <v>42186</v>
      </c>
      <c r="B9" s="424" t="s">
        <v>296</v>
      </c>
      <c r="C9" s="424" t="s">
        <v>296</v>
      </c>
      <c r="D9" s="424" t="s">
        <v>7</v>
      </c>
      <c r="E9" s="426" t="s">
        <v>15</v>
      </c>
      <c r="F9" s="424" t="s">
        <v>46</v>
      </c>
      <c r="G9" s="31">
        <v>1</v>
      </c>
      <c r="H9" s="424"/>
      <c r="I9" s="424"/>
      <c r="J9" s="31"/>
      <c r="K9" s="31"/>
      <c r="L9" s="31"/>
      <c r="M9" s="31"/>
      <c r="N9" s="31"/>
      <c r="O9" s="424"/>
      <c r="P9" s="133">
        <v>14</v>
      </c>
      <c r="Q9" s="133">
        <v>14</v>
      </c>
      <c r="R9" s="133"/>
      <c r="S9" s="133">
        <v>14</v>
      </c>
      <c r="T9" s="133">
        <f ca="1">IF(Data_Shelter_t[[#This Row],[Status]]="Open",Data_Shelter_t[[#This Row],[HH Covered]],0)</f>
        <v>14</v>
      </c>
      <c r="U9" s="640" t="s">
        <v>136</v>
      </c>
      <c r="V9" s="642" t="str">
        <f ca="1">IFERROR(OFFSET(Camp_List[Status],MATCH(Data_Shelter_t[[#This Row],[Camp Name]],Camp_List[Camp Name],0)-1,0,1,1),"")</f>
        <v>Open</v>
      </c>
      <c r="W9" s="643">
        <f ca="1">IFERROR(Data_Shelter_t[[#This Row],[HH Covered]]/OFFSET(Camp_List[HH],MATCH(Data_Shelter_t[[#This Row],[Camp Name]],Camp_List[Camp Name],0)-1,0,1,1),"")</f>
        <v>0.58333333333333337</v>
      </c>
      <c r="X9" s="24">
        <f>Data_Shelter_t[[#This Row],['# of Permanent House Planned (Target)]]+Data_Shelter_t[[#This Row],['# of Individual Shelter Planned (Target)]]</f>
        <v>14</v>
      </c>
      <c r="Y9" s="662">
        <f>Data_Shelter_t[[#This Row],['# of Permanent House Built]]+Data_Shelter_t[[#This Row],['# of Individual Shelter Built]]</f>
        <v>14</v>
      </c>
    </row>
    <row r="10" spans="1:61" x14ac:dyDescent="0.25">
      <c r="A10" s="663">
        <v>42186</v>
      </c>
      <c r="B10" s="424" t="s">
        <v>296</v>
      </c>
      <c r="C10" s="424" t="s">
        <v>296</v>
      </c>
      <c r="D10" s="424" t="s">
        <v>7</v>
      </c>
      <c r="E10" s="426" t="s">
        <v>15</v>
      </c>
      <c r="F10" s="424" t="s">
        <v>48</v>
      </c>
      <c r="G10" s="31">
        <v>1</v>
      </c>
      <c r="H10" s="424"/>
      <c r="I10" s="424"/>
      <c r="J10" s="31"/>
      <c r="K10" s="31"/>
      <c r="L10" s="31"/>
      <c r="M10" s="31"/>
      <c r="N10" s="31"/>
      <c r="O10" s="424"/>
      <c r="P10" s="133">
        <v>48</v>
      </c>
      <c r="Q10" s="133">
        <v>48</v>
      </c>
      <c r="R10" s="133"/>
      <c r="S10" s="133">
        <v>48</v>
      </c>
      <c r="T10" s="133">
        <f ca="1">IF(Data_Shelter_t[[#This Row],[Status]]="Open",Data_Shelter_t[[#This Row],[HH Covered]],0)</f>
        <v>48</v>
      </c>
      <c r="U10" s="640" t="s">
        <v>135</v>
      </c>
      <c r="V10" s="642" t="str">
        <f ca="1">IFERROR(OFFSET(Camp_List[Status],MATCH(Data_Shelter_t[[#This Row],[Camp Name]],Camp_List[Camp Name],0)-1,0,1,1),"")</f>
        <v>Open</v>
      </c>
      <c r="W10" s="643">
        <f ca="1">IFERROR(Data_Shelter_t[[#This Row],[HH Covered]]/OFFSET(Camp_List[HH],MATCH(Data_Shelter_t[[#This Row],[Camp Name]],Camp_List[Camp Name],0)-1,0,1,1),"")</f>
        <v>0.52173913043478259</v>
      </c>
      <c r="X10" s="24">
        <f>Data_Shelter_t[[#This Row],['# of Permanent House Planned (Target)]]+Data_Shelter_t[[#This Row],['# of Individual Shelter Planned (Target)]]</f>
        <v>48</v>
      </c>
      <c r="Y10" s="662">
        <f>Data_Shelter_t[[#This Row],['# of Permanent House Built]]+Data_Shelter_t[[#This Row],['# of Individual Shelter Built]]</f>
        <v>48</v>
      </c>
    </row>
    <row r="11" spans="1:61" x14ac:dyDescent="0.25">
      <c r="A11" s="663">
        <v>42186</v>
      </c>
      <c r="B11" s="424" t="s">
        <v>296</v>
      </c>
      <c r="C11" s="424" t="s">
        <v>296</v>
      </c>
      <c r="D11" s="424" t="s">
        <v>7</v>
      </c>
      <c r="E11" s="426" t="s">
        <v>15</v>
      </c>
      <c r="F11" s="424" t="s">
        <v>44</v>
      </c>
      <c r="G11" s="31">
        <v>1</v>
      </c>
      <c r="H11" s="424"/>
      <c r="I11" s="424"/>
      <c r="J11" s="31"/>
      <c r="K11" s="31"/>
      <c r="L11" s="31"/>
      <c r="M11" s="31"/>
      <c r="N11" s="31"/>
      <c r="O11" s="424"/>
      <c r="P11" s="133">
        <v>18</v>
      </c>
      <c r="Q11" s="133">
        <v>18</v>
      </c>
      <c r="R11" s="133"/>
      <c r="S11" s="133">
        <v>18</v>
      </c>
      <c r="T11" s="133">
        <f ca="1">IF(Data_Shelter_t[[#This Row],[Status]]="Open",Data_Shelter_t[[#This Row],[HH Covered]],0)</f>
        <v>18</v>
      </c>
      <c r="U11" s="640" t="s">
        <v>131</v>
      </c>
      <c r="V11" s="642" t="str">
        <f ca="1">IFERROR(OFFSET(Camp_List[Status],MATCH(Data_Shelter_t[[#This Row],[Camp Name]],Camp_List[Camp Name],0)-1,0,1,1),"")</f>
        <v>Open</v>
      </c>
      <c r="W11" s="643">
        <f ca="1">IFERROR(Data_Shelter_t[[#This Row],[HH Covered]]/OFFSET(Camp_List[HH],MATCH(Data_Shelter_t[[#This Row],[Camp Name]],Camp_List[Camp Name],0)-1,0,1,1),"")</f>
        <v>1</v>
      </c>
      <c r="X11" s="24">
        <f>Data_Shelter_t[[#This Row],['# of Permanent House Planned (Target)]]+Data_Shelter_t[[#This Row],['# of Individual Shelter Planned (Target)]]</f>
        <v>18</v>
      </c>
      <c r="Y11" s="662">
        <f>Data_Shelter_t[[#This Row],['# of Permanent House Built]]+Data_Shelter_t[[#This Row],['# of Individual Shelter Built]]</f>
        <v>18</v>
      </c>
    </row>
    <row r="12" spans="1:61" x14ac:dyDescent="0.25">
      <c r="A12" s="663">
        <v>42186</v>
      </c>
      <c r="B12" s="424" t="s">
        <v>296</v>
      </c>
      <c r="C12" s="424" t="s">
        <v>296</v>
      </c>
      <c r="D12" s="424" t="s">
        <v>7</v>
      </c>
      <c r="E12" s="426" t="s">
        <v>15</v>
      </c>
      <c r="F12" s="424" t="s">
        <v>45</v>
      </c>
      <c r="G12" s="31">
        <v>1</v>
      </c>
      <c r="H12" s="424"/>
      <c r="I12" s="424"/>
      <c r="J12" s="31"/>
      <c r="K12" s="31"/>
      <c r="L12" s="31"/>
      <c r="M12" s="31"/>
      <c r="N12" s="31"/>
      <c r="O12" s="424"/>
      <c r="P12" s="133">
        <v>62</v>
      </c>
      <c r="Q12" s="133">
        <v>62</v>
      </c>
      <c r="R12" s="133"/>
      <c r="S12" s="133">
        <v>62</v>
      </c>
      <c r="T12" s="133">
        <f ca="1">IF(Data_Shelter_t[[#This Row],[Status]]="Open",Data_Shelter_t[[#This Row],[HH Covered]],0)</f>
        <v>62</v>
      </c>
      <c r="U12" s="640" t="s">
        <v>132</v>
      </c>
      <c r="V12" s="642" t="str">
        <f ca="1">IFERROR(OFFSET(Camp_List[Status],MATCH(Data_Shelter_t[[#This Row],[Camp Name]],Camp_List[Camp Name],0)-1,0,1,1),"")</f>
        <v>Open</v>
      </c>
      <c r="W12" s="643">
        <f ca="1">IFERROR(Data_Shelter_t[[#This Row],[HH Covered]]/OFFSET(Camp_List[HH],MATCH(Data_Shelter_t[[#This Row],[Camp Name]],Camp_List[Camp Name],0)-1,0,1,1),"")</f>
        <v>0.98412698412698407</v>
      </c>
      <c r="X12" s="24">
        <f>Data_Shelter_t[[#This Row],['# of Permanent House Planned (Target)]]+Data_Shelter_t[[#This Row],['# of Individual Shelter Planned (Target)]]</f>
        <v>62</v>
      </c>
      <c r="Y12" s="662">
        <f>Data_Shelter_t[[#This Row],['# of Permanent House Built]]+Data_Shelter_t[[#This Row],['# of Individual Shelter Built]]</f>
        <v>62</v>
      </c>
    </row>
    <row r="13" spans="1:61" x14ac:dyDescent="0.25">
      <c r="A13" s="663">
        <v>42186</v>
      </c>
      <c r="B13" s="424" t="s">
        <v>296</v>
      </c>
      <c r="C13" s="424" t="s">
        <v>296</v>
      </c>
      <c r="D13" s="424" t="s">
        <v>7</v>
      </c>
      <c r="E13" s="426" t="s">
        <v>11</v>
      </c>
      <c r="F13" s="424" t="s">
        <v>30</v>
      </c>
      <c r="G13" s="31">
        <v>1</v>
      </c>
      <c r="H13" s="424"/>
      <c r="I13" s="424"/>
      <c r="J13" s="31"/>
      <c r="K13" s="31"/>
      <c r="L13" s="31"/>
      <c r="M13" s="31"/>
      <c r="N13" s="31"/>
      <c r="O13" s="424"/>
      <c r="P13" s="133">
        <v>44</v>
      </c>
      <c r="Q13" s="133">
        <v>44</v>
      </c>
      <c r="R13" s="133"/>
      <c r="S13" s="133">
        <v>44</v>
      </c>
      <c r="T13" s="133">
        <f ca="1">IF(Data_Shelter_t[[#This Row],[Status]]="Open",Data_Shelter_t[[#This Row],[HH Covered]],0)</f>
        <v>44</v>
      </c>
      <c r="U13" s="640" t="s">
        <v>117</v>
      </c>
      <c r="V13" s="642" t="str">
        <f ca="1">IFERROR(OFFSET(Camp_List[Status],MATCH(Data_Shelter_t[[#This Row],[Camp Name]],Camp_List[Camp Name],0)-1,0,1,1),"")</f>
        <v>Open</v>
      </c>
      <c r="W13" s="643">
        <f ca="1">IFERROR(Data_Shelter_t[[#This Row],[HH Covered]]/OFFSET(Camp_List[HH],MATCH(Data_Shelter_t[[#This Row],[Camp Name]],Camp_List[Camp Name],0)-1,0,1,1),"")</f>
        <v>0.51162790697674421</v>
      </c>
      <c r="X13" s="24">
        <f>Data_Shelter_t[[#This Row],['# of Permanent House Planned (Target)]]+Data_Shelter_t[[#This Row],['# of Individual Shelter Planned (Target)]]</f>
        <v>44</v>
      </c>
      <c r="Y13" s="665">
        <f>Data_Shelter_t[[#This Row],['# of Permanent House Built]]+Data_Shelter_t[[#This Row],['# of Individual Shelter Built]]</f>
        <v>44</v>
      </c>
    </row>
    <row r="14" spans="1:61" x14ac:dyDescent="0.25">
      <c r="A14" s="663">
        <v>42186</v>
      </c>
      <c r="B14" s="424" t="s">
        <v>296</v>
      </c>
      <c r="C14" s="424" t="s">
        <v>296</v>
      </c>
      <c r="D14" s="424" t="s">
        <v>7</v>
      </c>
      <c r="E14" s="426" t="s">
        <v>11</v>
      </c>
      <c r="F14" s="424" t="s">
        <v>25</v>
      </c>
      <c r="G14" s="31">
        <v>1</v>
      </c>
      <c r="H14" s="424"/>
      <c r="I14" s="424"/>
      <c r="J14" s="31"/>
      <c r="K14" s="31"/>
      <c r="L14" s="31"/>
      <c r="M14" s="31"/>
      <c r="N14" s="31"/>
      <c r="O14" s="424"/>
      <c r="P14" s="133">
        <v>19</v>
      </c>
      <c r="Q14" s="133">
        <v>19</v>
      </c>
      <c r="R14" s="133"/>
      <c r="S14" s="133">
        <v>19</v>
      </c>
      <c r="T14" s="133">
        <f ca="1">IF(Data_Shelter_t[[#This Row],[Status]]="Open",Data_Shelter_t[[#This Row],[HH Covered]],0)</f>
        <v>19</v>
      </c>
      <c r="U14" s="640" t="s">
        <v>112</v>
      </c>
      <c r="V14" s="642" t="str">
        <f ca="1">IFERROR(OFFSET(Camp_List[Status],MATCH(Data_Shelter_t[[#This Row],[Camp Name]],Camp_List[Camp Name],0)-1,0,1,1),"")</f>
        <v>Open</v>
      </c>
      <c r="W14" s="643">
        <f ca="1">IFERROR(Data_Shelter_t[[#This Row],[HH Covered]]/OFFSET(Camp_List[HH],MATCH(Data_Shelter_t[[#This Row],[Camp Name]],Camp_List[Camp Name],0)-1,0,1,1),"")</f>
        <v>1</v>
      </c>
      <c r="X14" s="24">
        <f>Data_Shelter_t[[#This Row],['# of Permanent House Planned (Target)]]+Data_Shelter_t[[#This Row],['# of Individual Shelter Planned (Target)]]</f>
        <v>19</v>
      </c>
      <c r="Y14" s="665">
        <f>Data_Shelter_t[[#This Row],['# of Permanent House Built]]+Data_Shelter_t[[#This Row],['# of Individual Shelter Built]]</f>
        <v>19</v>
      </c>
    </row>
    <row r="15" spans="1:61" x14ac:dyDescent="0.25">
      <c r="A15" s="663">
        <v>42186</v>
      </c>
      <c r="B15" s="424" t="s">
        <v>296</v>
      </c>
      <c r="C15" s="424" t="s">
        <v>296</v>
      </c>
      <c r="D15" s="424" t="s">
        <v>7</v>
      </c>
      <c r="E15" s="426" t="s">
        <v>11</v>
      </c>
      <c r="F15" s="424" t="s">
        <v>32</v>
      </c>
      <c r="G15" s="31">
        <v>1</v>
      </c>
      <c r="H15" s="424"/>
      <c r="I15" s="424"/>
      <c r="J15" s="31"/>
      <c r="K15" s="31"/>
      <c r="L15" s="31"/>
      <c r="M15" s="31"/>
      <c r="N15" s="31"/>
      <c r="O15" s="424"/>
      <c r="P15" s="133">
        <v>110</v>
      </c>
      <c r="Q15" s="133">
        <v>110</v>
      </c>
      <c r="R15" s="133"/>
      <c r="S15" s="133">
        <v>110</v>
      </c>
      <c r="T15" s="133">
        <f ca="1">IF(Data_Shelter_t[[#This Row],[Status]]="Open",Data_Shelter_t[[#This Row],[HH Covered]],0)</f>
        <v>110</v>
      </c>
      <c r="U15" s="640" t="s">
        <v>119</v>
      </c>
      <c r="V15" s="642" t="str">
        <f ca="1">IFERROR(OFFSET(Camp_List[Status],MATCH(Data_Shelter_t[[#This Row],[Camp Name]],Camp_List[Camp Name],0)-1,0,1,1),"")</f>
        <v>Open</v>
      </c>
      <c r="W15" s="643">
        <f ca="1">IFERROR(Data_Shelter_t[[#This Row],[HH Covered]]/OFFSET(Camp_List[HH],MATCH(Data_Shelter_t[[#This Row],[Camp Name]],Camp_List[Camp Name],0)-1,0,1,1),"")</f>
        <v>0.48888888888888887</v>
      </c>
      <c r="X15" s="24">
        <f>Data_Shelter_t[[#This Row],['# of Permanent House Planned (Target)]]+Data_Shelter_t[[#This Row],['# of Individual Shelter Planned (Target)]]</f>
        <v>110</v>
      </c>
      <c r="Y15" s="665">
        <f>Data_Shelter_t[[#This Row],['# of Permanent House Built]]+Data_Shelter_t[[#This Row],['# of Individual Shelter Built]]</f>
        <v>110</v>
      </c>
    </row>
    <row r="16" spans="1:61" x14ac:dyDescent="0.25">
      <c r="A16" s="663">
        <v>42186</v>
      </c>
      <c r="B16" s="424" t="s">
        <v>296</v>
      </c>
      <c r="C16" s="424" t="s">
        <v>296</v>
      </c>
      <c r="D16" s="424" t="s">
        <v>7</v>
      </c>
      <c r="E16" s="426" t="s">
        <v>11</v>
      </c>
      <c r="F16" s="424" t="s">
        <v>27</v>
      </c>
      <c r="G16" s="31">
        <v>1</v>
      </c>
      <c r="H16" s="424"/>
      <c r="I16" s="424"/>
      <c r="J16" s="31"/>
      <c r="K16" s="31"/>
      <c r="L16" s="31"/>
      <c r="M16" s="31"/>
      <c r="N16" s="31"/>
      <c r="O16" s="424"/>
      <c r="P16" s="133">
        <v>43</v>
      </c>
      <c r="Q16" s="133">
        <v>43</v>
      </c>
      <c r="R16" s="133"/>
      <c r="S16" s="133">
        <v>43</v>
      </c>
      <c r="T16" s="133">
        <f ca="1">IF(Data_Shelter_t[[#This Row],[Status]]="Open",Data_Shelter_t[[#This Row],[HH Covered]],0)</f>
        <v>43</v>
      </c>
      <c r="U16" s="640" t="s">
        <v>114</v>
      </c>
      <c r="V16" s="642" t="str">
        <f ca="1">IFERROR(OFFSET(Camp_List[Status],MATCH(Data_Shelter_t[[#This Row],[Camp Name]],Camp_List[Camp Name],0)-1,0,1,1),"")</f>
        <v>Open</v>
      </c>
      <c r="W16" s="643">
        <f ca="1">IFERROR(Data_Shelter_t[[#This Row],[HH Covered]]/OFFSET(Camp_List[HH],MATCH(Data_Shelter_t[[#This Row],[Camp Name]],Camp_List[Camp Name],0)-1,0,1,1),"")</f>
        <v>0.5</v>
      </c>
      <c r="X16" s="24">
        <f>Data_Shelter_t[[#This Row],['# of Permanent House Planned (Target)]]+Data_Shelter_t[[#This Row],['# of Individual Shelter Planned (Target)]]</f>
        <v>43</v>
      </c>
      <c r="Y16" s="665">
        <f>Data_Shelter_t[[#This Row],['# of Permanent House Built]]+Data_Shelter_t[[#This Row],['# of Individual Shelter Built]]</f>
        <v>43</v>
      </c>
    </row>
    <row r="17" spans="1:25" x14ac:dyDescent="0.25">
      <c r="A17" s="663">
        <v>42186</v>
      </c>
      <c r="B17" s="424" t="s">
        <v>296</v>
      </c>
      <c r="C17" s="424" t="s">
        <v>296</v>
      </c>
      <c r="D17" s="424" t="s">
        <v>7</v>
      </c>
      <c r="E17" s="426" t="s">
        <v>11</v>
      </c>
      <c r="F17" s="424" t="s">
        <v>972</v>
      </c>
      <c r="G17" s="31">
        <v>1</v>
      </c>
      <c r="H17" s="424"/>
      <c r="I17" s="424"/>
      <c r="J17" s="31"/>
      <c r="K17" s="31"/>
      <c r="L17" s="31"/>
      <c r="M17" s="31">
        <v>4</v>
      </c>
      <c r="N17" s="31">
        <v>4</v>
      </c>
      <c r="O17" s="424"/>
      <c r="P17" s="424"/>
      <c r="Q17" s="424"/>
      <c r="R17" s="133"/>
      <c r="S17" s="133">
        <v>4</v>
      </c>
      <c r="T17" s="133">
        <f ca="1">IF(Data_Shelter_t[[#This Row],[Status]]="Open",Data_Shelter_t[[#This Row],[HH Covered]],0)</f>
        <v>0</v>
      </c>
      <c r="U17" s="640" t="s">
        <v>977</v>
      </c>
      <c r="V17" s="642" t="str">
        <f ca="1">IFERROR(OFFSET(Camp_List[Status],MATCH(Data_Shelter_t[[#This Row],[Camp Name]],Camp_List[Camp Name],0)-1,0,1,1),"")</f>
        <v/>
      </c>
      <c r="W17" s="643" t="str">
        <f ca="1">IFERROR(Data_Shelter_t[[#This Row],[HH Covered]]/OFFSET(Camp_List[HH],MATCH(Data_Shelter_t[[#This Row],[Camp Name]],Camp_List[Camp Name],0)-1,0,1,1),"")</f>
        <v/>
      </c>
      <c r="X17" s="24">
        <f>Data_Shelter_t[[#This Row],['# of Permanent House Planned (Target)]]+Data_Shelter_t[[#This Row],['# of Individual Shelter Planned (Target)]]</f>
        <v>4</v>
      </c>
      <c r="Y17" s="665">
        <f>Data_Shelter_t[[#This Row],['# of Permanent House Built]]+Data_Shelter_t[[#This Row],['# of Individual Shelter Built]]</f>
        <v>4</v>
      </c>
    </row>
    <row r="18" spans="1:25" x14ac:dyDescent="0.25">
      <c r="A18" s="663">
        <v>42186</v>
      </c>
      <c r="B18" s="424" t="s">
        <v>296</v>
      </c>
      <c r="C18" s="424" t="s">
        <v>296</v>
      </c>
      <c r="D18" s="424" t="s">
        <v>7</v>
      </c>
      <c r="E18" s="426" t="s">
        <v>11</v>
      </c>
      <c r="F18" s="424" t="s">
        <v>574</v>
      </c>
      <c r="G18" s="31">
        <v>1</v>
      </c>
      <c r="H18" s="424"/>
      <c r="I18" s="424"/>
      <c r="J18" s="31"/>
      <c r="K18" s="31"/>
      <c r="L18" s="31"/>
      <c r="M18" s="31">
        <v>18</v>
      </c>
      <c r="N18" s="31">
        <v>18</v>
      </c>
      <c r="O18" s="424"/>
      <c r="P18" s="424"/>
      <c r="Q18" s="424"/>
      <c r="R18" s="133"/>
      <c r="S18" s="133">
        <v>18</v>
      </c>
      <c r="T18" s="133">
        <f ca="1">IF(Data_Shelter_t[[#This Row],[Status]]="Open",Data_Shelter_t[[#This Row],[HH Covered]],0)</f>
        <v>18</v>
      </c>
      <c r="U18" s="640" t="s">
        <v>575</v>
      </c>
      <c r="V18" s="642" t="str">
        <f ca="1">IFERROR(OFFSET(Camp_List[Status],MATCH(Data_Shelter_t[[#This Row],[Camp Name]],Camp_List[Camp Name],0)-1,0,1,1),"")</f>
        <v>Open</v>
      </c>
      <c r="W18" s="643">
        <f ca="1">IFERROR(Data_Shelter_t[[#This Row],[HH Covered]]/OFFSET(Camp_List[HH],MATCH(Data_Shelter_t[[#This Row],[Camp Name]],Camp_List[Camp Name],0)-1,0,1,1),"")</f>
        <v>1.0588235294117647</v>
      </c>
      <c r="X18" s="24">
        <f>Data_Shelter_t[[#This Row],['# of Permanent House Planned (Target)]]+Data_Shelter_t[[#This Row],['# of Individual Shelter Planned (Target)]]</f>
        <v>18</v>
      </c>
      <c r="Y18" s="665">
        <f>Data_Shelter_t[[#This Row],['# of Permanent House Built]]+Data_Shelter_t[[#This Row],['# of Individual Shelter Built]]</f>
        <v>18</v>
      </c>
    </row>
    <row r="19" spans="1:25" x14ac:dyDescent="0.25">
      <c r="A19" s="663">
        <v>42186</v>
      </c>
      <c r="B19" s="424" t="s">
        <v>296</v>
      </c>
      <c r="C19" s="424" t="s">
        <v>296</v>
      </c>
      <c r="D19" s="424" t="s">
        <v>7</v>
      </c>
      <c r="E19" s="426" t="s">
        <v>11</v>
      </c>
      <c r="F19" s="424" t="s">
        <v>26</v>
      </c>
      <c r="G19" s="31">
        <v>1</v>
      </c>
      <c r="H19" s="424"/>
      <c r="I19" s="424"/>
      <c r="J19" s="31"/>
      <c r="K19" s="31"/>
      <c r="L19" s="31"/>
      <c r="M19" s="31"/>
      <c r="N19" s="31"/>
      <c r="O19" s="424"/>
      <c r="P19" s="133">
        <v>96</v>
      </c>
      <c r="Q19" s="133">
        <v>96</v>
      </c>
      <c r="R19" s="133"/>
      <c r="S19" s="133">
        <v>96</v>
      </c>
      <c r="T19" s="133">
        <f ca="1">IF(Data_Shelter_t[[#This Row],[Status]]="Open",Data_Shelter_t[[#This Row],[HH Covered]],0)</f>
        <v>96</v>
      </c>
      <c r="U19" s="640" t="s">
        <v>113</v>
      </c>
      <c r="V19" s="642" t="str">
        <f ca="1">IFERROR(OFFSET(Camp_List[Status],MATCH(Data_Shelter_t[[#This Row],[Camp Name]],Camp_List[Camp Name],0)-1,0,1,1),"")</f>
        <v>Open</v>
      </c>
      <c r="W19" s="643">
        <f ca="1">IFERROR(Data_Shelter_t[[#This Row],[HH Covered]]/OFFSET(Camp_List[HH],MATCH(Data_Shelter_t[[#This Row],[Camp Name]],Camp_List[Camp Name],0)-1,0,1,1),"")</f>
        <v>0.47290640394088668</v>
      </c>
      <c r="X19" s="24">
        <f>Data_Shelter_t[[#This Row],['# of Permanent House Planned (Target)]]+Data_Shelter_t[[#This Row],['# of Individual Shelter Planned (Target)]]</f>
        <v>96</v>
      </c>
      <c r="Y19" s="665">
        <f>Data_Shelter_t[[#This Row],['# of Permanent House Built]]+Data_Shelter_t[[#This Row],['# of Individual Shelter Built]]</f>
        <v>96</v>
      </c>
    </row>
    <row r="20" spans="1:25" x14ac:dyDescent="0.25">
      <c r="A20" s="663">
        <v>42186</v>
      </c>
      <c r="B20" s="424" t="s">
        <v>296</v>
      </c>
      <c r="C20" s="424" t="s">
        <v>296</v>
      </c>
      <c r="D20" s="424" t="s">
        <v>7</v>
      </c>
      <c r="E20" s="426" t="s">
        <v>11</v>
      </c>
      <c r="F20" s="424" t="s">
        <v>29</v>
      </c>
      <c r="G20" s="31">
        <v>1</v>
      </c>
      <c r="H20" s="424"/>
      <c r="I20" s="424"/>
      <c r="J20" s="31"/>
      <c r="K20" s="31"/>
      <c r="L20" s="31"/>
      <c r="M20" s="31"/>
      <c r="N20" s="31"/>
      <c r="O20" s="424"/>
      <c r="P20" s="133">
        <v>139</v>
      </c>
      <c r="Q20" s="133">
        <v>139</v>
      </c>
      <c r="R20" s="133"/>
      <c r="S20" s="133">
        <v>139</v>
      </c>
      <c r="T20" s="133">
        <f ca="1">IF(Data_Shelter_t[[#This Row],[Status]]="Open",Data_Shelter_t[[#This Row],[HH Covered]],0)</f>
        <v>139</v>
      </c>
      <c r="U20" s="640" t="s">
        <v>116</v>
      </c>
      <c r="V20" s="642" t="str">
        <f ca="1">IFERROR(OFFSET(Camp_List[Status],MATCH(Data_Shelter_t[[#This Row],[Camp Name]],Camp_List[Camp Name],0)-1,0,1,1),"")</f>
        <v>Open</v>
      </c>
      <c r="W20" s="643">
        <f ca="1">IFERROR(Data_Shelter_t[[#This Row],[HH Covered]]/OFFSET(Camp_List[HH],MATCH(Data_Shelter_t[[#This Row],[Camp Name]],Camp_List[Camp Name],0)-1,0,1,1),"")</f>
        <v>0.50545454545454549</v>
      </c>
      <c r="X20" s="24">
        <f>Data_Shelter_t[[#This Row],['# of Permanent House Planned (Target)]]+Data_Shelter_t[[#This Row],['# of Individual Shelter Planned (Target)]]</f>
        <v>139</v>
      </c>
      <c r="Y20" s="665">
        <f>Data_Shelter_t[[#This Row],['# of Permanent House Built]]+Data_Shelter_t[[#This Row],['# of Individual Shelter Built]]</f>
        <v>139</v>
      </c>
    </row>
    <row r="21" spans="1:25" s="5" customFormat="1" x14ac:dyDescent="0.25">
      <c r="A21" s="663">
        <v>42186</v>
      </c>
      <c r="B21" s="424" t="s">
        <v>296</v>
      </c>
      <c r="C21" s="424" t="s">
        <v>296</v>
      </c>
      <c r="D21" s="424" t="s">
        <v>7</v>
      </c>
      <c r="E21" s="426" t="s">
        <v>12</v>
      </c>
      <c r="F21" s="424" t="s">
        <v>33</v>
      </c>
      <c r="G21" s="31">
        <v>1</v>
      </c>
      <c r="H21" s="424"/>
      <c r="I21" s="424"/>
      <c r="J21" s="31"/>
      <c r="K21" s="31"/>
      <c r="L21" s="31"/>
      <c r="M21" s="31"/>
      <c r="N21" s="31"/>
      <c r="O21" s="424"/>
      <c r="P21" s="133">
        <v>102</v>
      </c>
      <c r="Q21" s="133">
        <v>102</v>
      </c>
      <c r="R21" s="133"/>
      <c r="S21" s="133">
        <v>102</v>
      </c>
      <c r="T21" s="133">
        <f ca="1">IF(Data_Shelter_t[[#This Row],[Status]]="Open",Data_Shelter_t[[#This Row],[HH Covered]],0)</f>
        <v>102</v>
      </c>
      <c r="U21" s="640" t="s">
        <v>120</v>
      </c>
      <c r="V21" s="642" t="str">
        <f ca="1">IFERROR(OFFSET(Camp_List[Status],MATCH(Data_Shelter_t[[#This Row],[Camp Name]],Camp_List[Camp Name],0)-1,0,1,1),"")</f>
        <v>Open</v>
      </c>
      <c r="W21" s="643">
        <f ca="1">IFERROR(Data_Shelter_t[[#This Row],[HH Covered]]/OFFSET(Camp_List[HH],MATCH(Data_Shelter_t[[#This Row],[Camp Name]],Camp_List[Camp Name],0)-1,0,1,1),"")</f>
        <v>0.5</v>
      </c>
      <c r="X21" s="24">
        <f>Data_Shelter_t[[#This Row],['# of Permanent House Planned (Target)]]+Data_Shelter_t[[#This Row],['# of Individual Shelter Planned (Target)]]</f>
        <v>102</v>
      </c>
      <c r="Y21" s="665">
        <f>Data_Shelter_t[[#This Row],['# of Permanent House Built]]+Data_Shelter_t[[#This Row],['# of Individual Shelter Built]]</f>
        <v>102</v>
      </c>
    </row>
    <row r="22" spans="1:25" s="5" customFormat="1" x14ac:dyDescent="0.25">
      <c r="A22" s="663">
        <v>42186</v>
      </c>
      <c r="B22" s="424" t="s">
        <v>296</v>
      </c>
      <c r="C22" s="424" t="s">
        <v>296</v>
      </c>
      <c r="D22" s="424" t="s">
        <v>7</v>
      </c>
      <c r="E22" s="426" t="s">
        <v>12</v>
      </c>
      <c r="F22" s="424" t="s">
        <v>36</v>
      </c>
      <c r="G22" s="31">
        <v>1</v>
      </c>
      <c r="H22" s="424"/>
      <c r="I22" s="424"/>
      <c r="J22" s="31"/>
      <c r="K22" s="31"/>
      <c r="L22" s="31"/>
      <c r="M22" s="31">
        <v>10</v>
      </c>
      <c r="N22" s="31">
        <v>10</v>
      </c>
      <c r="O22" s="424"/>
      <c r="P22" s="424"/>
      <c r="Q22" s="424"/>
      <c r="R22" s="133"/>
      <c r="S22" s="133">
        <v>10</v>
      </c>
      <c r="T22" s="133">
        <f ca="1">IF(Data_Shelter_t[[#This Row],[Status]]="Open",Data_Shelter_t[[#This Row],[HH Covered]],0)</f>
        <v>10</v>
      </c>
      <c r="U22" s="640" t="s">
        <v>123</v>
      </c>
      <c r="V22" s="642" t="str">
        <f ca="1">IFERROR(OFFSET(Camp_List[Status],MATCH(Data_Shelter_t[[#This Row],[Camp Name]],Camp_List[Camp Name],0)-1,0,1,1),"")</f>
        <v>Open</v>
      </c>
      <c r="W22" s="643">
        <f ca="1">IFERROR(Data_Shelter_t[[#This Row],[HH Covered]]/OFFSET(Camp_List[HH],MATCH(Data_Shelter_t[[#This Row],[Camp Name]],Camp_List[Camp Name],0)-1,0,1,1),"")</f>
        <v>1</v>
      </c>
      <c r="X22" s="24">
        <f>Data_Shelter_t[[#This Row],['# of Permanent House Planned (Target)]]+Data_Shelter_t[[#This Row],['# of Individual Shelter Planned (Target)]]</f>
        <v>10</v>
      </c>
      <c r="Y22" s="665">
        <f>Data_Shelter_t[[#This Row],['# of Permanent House Built]]+Data_Shelter_t[[#This Row],['# of Individual Shelter Built]]</f>
        <v>10</v>
      </c>
    </row>
    <row r="23" spans="1:25" x14ac:dyDescent="0.25">
      <c r="A23" s="663">
        <v>42186</v>
      </c>
      <c r="B23" s="424" t="s">
        <v>296</v>
      </c>
      <c r="C23" s="424" t="s">
        <v>296</v>
      </c>
      <c r="D23" s="424" t="s">
        <v>7</v>
      </c>
      <c r="E23" s="426" t="s">
        <v>12</v>
      </c>
      <c r="F23" s="424" t="s">
        <v>646</v>
      </c>
      <c r="G23" s="31">
        <v>1</v>
      </c>
      <c r="H23" s="424"/>
      <c r="I23" s="424"/>
      <c r="J23" s="31"/>
      <c r="K23" s="31"/>
      <c r="L23" s="31"/>
      <c r="M23" s="31">
        <v>32</v>
      </c>
      <c r="N23" s="31">
        <v>32</v>
      </c>
      <c r="O23" s="424"/>
      <c r="P23" s="424"/>
      <c r="Q23" s="424"/>
      <c r="R23" s="133"/>
      <c r="S23" s="133">
        <v>32</v>
      </c>
      <c r="T23" s="133">
        <f ca="1">IF(Data_Shelter_t[[#This Row],[Status]]="Open",Data_Shelter_t[[#This Row],[HH Covered]],0)</f>
        <v>32</v>
      </c>
      <c r="U23" s="640" t="s">
        <v>647</v>
      </c>
      <c r="V23" s="642" t="str">
        <f ca="1">IFERROR(OFFSET(Camp_List[Status],MATCH(Data_Shelter_t[[#This Row],[Camp Name]],Camp_List[Camp Name],0)-1,0,1,1),"")</f>
        <v>Open</v>
      </c>
      <c r="W23" s="643">
        <f ca="1">IFERROR(Data_Shelter_t[[#This Row],[HH Covered]]/OFFSET(Camp_List[HH],MATCH(Data_Shelter_t[[#This Row],[Camp Name]],Camp_List[Camp Name],0)-1,0,1,1),"")</f>
        <v>1.032258064516129</v>
      </c>
      <c r="X23" s="24">
        <f>Data_Shelter_t[[#This Row],['# of Permanent House Planned (Target)]]+Data_Shelter_t[[#This Row],['# of Individual Shelter Planned (Target)]]</f>
        <v>32</v>
      </c>
      <c r="Y23" s="665">
        <f>Data_Shelter_t[[#This Row],['# of Permanent House Built]]+Data_Shelter_t[[#This Row],['# of Individual Shelter Built]]</f>
        <v>32</v>
      </c>
    </row>
    <row r="24" spans="1:25" x14ac:dyDescent="0.25">
      <c r="A24" s="663">
        <v>42186</v>
      </c>
      <c r="B24" s="424" t="s">
        <v>296</v>
      </c>
      <c r="C24" s="424" t="s">
        <v>296</v>
      </c>
      <c r="D24" s="424" t="s">
        <v>7</v>
      </c>
      <c r="E24" s="426" t="s">
        <v>12</v>
      </c>
      <c r="F24" s="424" t="s">
        <v>34</v>
      </c>
      <c r="G24" s="31">
        <v>1</v>
      </c>
      <c r="H24" s="424"/>
      <c r="I24" s="424"/>
      <c r="J24" s="31"/>
      <c r="K24" s="31"/>
      <c r="L24" s="31"/>
      <c r="M24" s="31"/>
      <c r="N24" s="31"/>
      <c r="O24" s="424"/>
      <c r="P24" s="133">
        <v>182</v>
      </c>
      <c r="Q24" s="133">
        <v>182</v>
      </c>
      <c r="R24" s="133"/>
      <c r="S24" s="133">
        <v>182</v>
      </c>
      <c r="T24" s="133">
        <f ca="1">IF(Data_Shelter_t[[#This Row],[Status]]="Open",Data_Shelter_t[[#This Row],[HH Covered]],0)</f>
        <v>182</v>
      </c>
      <c r="U24" s="640" t="s">
        <v>121</v>
      </c>
      <c r="V24" s="642" t="str">
        <f ca="1">IFERROR(OFFSET(Camp_List[Status],MATCH(Data_Shelter_t[[#This Row],[Camp Name]],Camp_List[Camp Name],0)-1,0,1,1),"")</f>
        <v>Open</v>
      </c>
      <c r="W24" s="643">
        <f ca="1">IFERROR(Data_Shelter_t[[#This Row],[HH Covered]]/OFFSET(Camp_List[HH],MATCH(Data_Shelter_t[[#This Row],[Camp Name]],Camp_List[Camp Name],0)-1,0,1,1),"")</f>
        <v>0.49863013698630138</v>
      </c>
      <c r="X24" s="24">
        <f>Data_Shelter_t[[#This Row],['# of Permanent House Planned (Target)]]+Data_Shelter_t[[#This Row],['# of Individual Shelter Planned (Target)]]</f>
        <v>182</v>
      </c>
      <c r="Y24" s="665">
        <f>Data_Shelter_t[[#This Row],['# of Permanent House Built]]+Data_Shelter_t[[#This Row],['# of Individual Shelter Built]]</f>
        <v>182</v>
      </c>
    </row>
    <row r="25" spans="1:25" x14ac:dyDescent="0.25">
      <c r="A25" s="663">
        <v>42186</v>
      </c>
      <c r="B25" s="424" t="s">
        <v>288</v>
      </c>
      <c r="C25" s="424" t="s">
        <v>643</v>
      </c>
      <c r="D25" s="424" t="s">
        <v>7</v>
      </c>
      <c r="E25" s="426" t="s">
        <v>12</v>
      </c>
      <c r="F25" s="424" t="s">
        <v>33</v>
      </c>
      <c r="G25" s="31">
        <v>1</v>
      </c>
      <c r="H25" s="424"/>
      <c r="I25" s="424"/>
      <c r="J25" s="31"/>
      <c r="K25" s="31"/>
      <c r="L25" s="31"/>
      <c r="M25" s="31"/>
      <c r="N25" s="31"/>
      <c r="O25" s="424"/>
      <c r="P25" s="133">
        <v>102</v>
      </c>
      <c r="Q25" s="424"/>
      <c r="R25" s="133"/>
      <c r="S25" s="133">
        <v>0</v>
      </c>
      <c r="T25" s="133">
        <f ca="1">IF(Data_Shelter_t[[#This Row],[Status]]="Open",Data_Shelter_t[[#This Row],[HH Covered]],0)</f>
        <v>0</v>
      </c>
      <c r="U25" s="640" t="s">
        <v>120</v>
      </c>
      <c r="V25" s="642" t="str">
        <f ca="1">IFERROR(OFFSET(Camp_List[Status],MATCH(Data_Shelter_t[[#This Row],[Camp Name]],Camp_List[Camp Name],0)-1,0,1,1),"")</f>
        <v>Open</v>
      </c>
      <c r="W25" s="643">
        <f ca="1">IFERROR(Data_Shelter_t[[#This Row],[HH Covered]]/OFFSET(Camp_List[HH],MATCH(Data_Shelter_t[[#This Row],[Camp Name]],Camp_List[Camp Name],0)-1,0,1,1),"")</f>
        <v>0</v>
      </c>
      <c r="X25" s="24">
        <f>Data_Shelter_t[[#This Row],['# of Permanent House Planned (Target)]]+Data_Shelter_t[[#This Row],['# of Individual Shelter Planned (Target)]]</f>
        <v>102</v>
      </c>
      <c r="Y25" s="665">
        <f>Data_Shelter_t[[#This Row],['# of Permanent House Built]]+Data_Shelter_t[[#This Row],['# of Individual Shelter Built]]</f>
        <v>0</v>
      </c>
    </row>
    <row r="26" spans="1:25" s="102" customFormat="1" x14ac:dyDescent="0.25">
      <c r="A26" s="663">
        <v>42186</v>
      </c>
      <c r="B26" s="424" t="s">
        <v>288</v>
      </c>
      <c r="C26" s="424" t="s">
        <v>643</v>
      </c>
      <c r="D26" s="424" t="s">
        <v>7</v>
      </c>
      <c r="E26" s="426" t="s">
        <v>12</v>
      </c>
      <c r="F26" s="424" t="s">
        <v>34</v>
      </c>
      <c r="G26" s="31">
        <v>1</v>
      </c>
      <c r="H26" s="424"/>
      <c r="I26" s="424"/>
      <c r="J26" s="31"/>
      <c r="K26" s="31"/>
      <c r="L26" s="31"/>
      <c r="M26" s="31"/>
      <c r="N26" s="31"/>
      <c r="O26" s="424"/>
      <c r="P26" s="133">
        <v>183</v>
      </c>
      <c r="Q26" s="424"/>
      <c r="R26" s="133"/>
      <c r="S26" s="133">
        <v>0</v>
      </c>
      <c r="T26" s="133">
        <f ca="1">IF(Data_Shelter_t[[#This Row],[Status]]="Open",Data_Shelter_t[[#This Row],[HH Covered]],0)</f>
        <v>0</v>
      </c>
      <c r="U26" s="640" t="s">
        <v>121</v>
      </c>
      <c r="V26" s="642" t="str">
        <f ca="1">IFERROR(OFFSET(Camp_List[Status],MATCH(Data_Shelter_t[[#This Row],[Camp Name]],Camp_List[Camp Name],0)-1,0,1,1),"")</f>
        <v>Open</v>
      </c>
      <c r="W26" s="643">
        <f ca="1">IFERROR(Data_Shelter_t[[#This Row],[HH Covered]]/OFFSET(Camp_List[HH],MATCH(Data_Shelter_t[[#This Row],[Camp Name]],Camp_List[Camp Name],0)-1,0,1,1),"")</f>
        <v>0</v>
      </c>
      <c r="X26" s="24">
        <f>Data_Shelter_t[[#This Row],['# of Permanent House Planned (Target)]]+Data_Shelter_t[[#This Row],['# of Individual Shelter Planned (Target)]]</f>
        <v>183</v>
      </c>
      <c r="Y26" s="665">
        <f>Data_Shelter_t[[#This Row],['# of Permanent House Built]]+Data_Shelter_t[[#This Row],['# of Individual Shelter Built]]</f>
        <v>0</v>
      </c>
    </row>
    <row r="27" spans="1:25" x14ac:dyDescent="0.25">
      <c r="A27" s="663">
        <v>42186</v>
      </c>
      <c r="B27" s="424" t="s">
        <v>296</v>
      </c>
      <c r="C27" s="424" t="s">
        <v>296</v>
      </c>
      <c r="D27" s="424" t="s">
        <v>7</v>
      </c>
      <c r="E27" s="426" t="s">
        <v>915</v>
      </c>
      <c r="F27" s="424" t="s">
        <v>37</v>
      </c>
      <c r="G27" s="31">
        <v>1</v>
      </c>
      <c r="H27" s="424"/>
      <c r="I27" s="424"/>
      <c r="J27" s="31"/>
      <c r="K27" s="31"/>
      <c r="L27" s="31"/>
      <c r="M27" s="31">
        <v>42</v>
      </c>
      <c r="N27" s="31"/>
      <c r="O27" s="424"/>
      <c r="P27" s="424"/>
      <c r="Q27" s="424"/>
      <c r="R27" s="133"/>
      <c r="S27" s="133">
        <v>0</v>
      </c>
      <c r="T27" s="133">
        <f ca="1">IF(Data_Shelter_t[[#This Row],[Status]]="Open",Data_Shelter_t[[#This Row],[HH Covered]],0)</f>
        <v>0</v>
      </c>
      <c r="U27" s="640" t="s">
        <v>124</v>
      </c>
      <c r="V27" s="642" t="str">
        <f ca="1">IFERROR(OFFSET(Camp_List[Status],MATCH(Data_Shelter_t[[#This Row],[Camp Name]],Camp_List[Camp Name],0)-1,0,1,1),"")</f>
        <v>Open</v>
      </c>
      <c r="W27" s="643">
        <f ca="1">IFERROR(Data_Shelter_t[[#This Row],[HH Covered]]/OFFSET(Camp_List[HH],MATCH(Data_Shelter_t[[#This Row],[Camp Name]],Camp_List[Camp Name],0)-1,0,1,1),"")</f>
        <v>0</v>
      </c>
      <c r="X27" s="24">
        <f>Data_Shelter_t[[#This Row],['# of Permanent House Planned (Target)]]+Data_Shelter_t[[#This Row],['# of Individual Shelter Planned (Target)]]</f>
        <v>42</v>
      </c>
      <c r="Y27" s="665">
        <f>Data_Shelter_t[[#This Row],['# of Permanent House Built]]+Data_Shelter_t[[#This Row],['# of Individual Shelter Built]]</f>
        <v>0</v>
      </c>
    </row>
    <row r="28" spans="1:25" x14ac:dyDescent="0.25">
      <c r="A28" s="663">
        <v>42186</v>
      </c>
      <c r="B28" s="424" t="s">
        <v>296</v>
      </c>
      <c r="C28" s="424" t="s">
        <v>296</v>
      </c>
      <c r="D28" s="424" t="s">
        <v>7</v>
      </c>
      <c r="E28" s="426" t="s">
        <v>14</v>
      </c>
      <c r="F28" s="424" t="s">
        <v>42</v>
      </c>
      <c r="G28" s="31">
        <v>1</v>
      </c>
      <c r="H28" s="424"/>
      <c r="I28" s="424"/>
      <c r="J28" s="31"/>
      <c r="K28" s="31"/>
      <c r="L28" s="31"/>
      <c r="M28" s="31"/>
      <c r="N28" s="31"/>
      <c r="O28" s="424"/>
      <c r="P28" s="133">
        <v>112</v>
      </c>
      <c r="Q28" s="133">
        <v>112</v>
      </c>
      <c r="R28" s="133"/>
      <c r="S28" s="133">
        <v>112</v>
      </c>
      <c r="T28" s="133">
        <f ca="1">IF(Data_Shelter_t[[#This Row],[Status]]="Open",Data_Shelter_t[[#This Row],[HH Covered]],0)</f>
        <v>112</v>
      </c>
      <c r="U28" s="640" t="s">
        <v>129</v>
      </c>
      <c r="V28" s="642" t="str">
        <f ca="1">IFERROR(OFFSET(Camp_List[Status],MATCH(Data_Shelter_t[[#This Row],[Camp Name]],Camp_List[Camp Name],0)-1,0,1,1),"")</f>
        <v>Open</v>
      </c>
      <c r="W28" s="643">
        <f ca="1">IFERROR(Data_Shelter_t[[#This Row],[HH Covered]]/OFFSET(Camp_List[HH],MATCH(Data_Shelter_t[[#This Row],[Camp Name]],Camp_List[Camp Name],0)-1,0,1,1),"")</f>
        <v>9.7222222222222224E-2</v>
      </c>
      <c r="X28" s="24">
        <f>Data_Shelter_t[[#This Row],['# of Permanent House Planned (Target)]]+Data_Shelter_t[[#This Row],['# of Individual Shelter Planned (Target)]]</f>
        <v>112</v>
      </c>
      <c r="Y28" s="665">
        <f>Data_Shelter_t[[#This Row],['# of Permanent House Built]]+Data_Shelter_t[[#This Row],['# of Individual Shelter Built]]</f>
        <v>112</v>
      </c>
    </row>
    <row r="29" spans="1:25" s="5" customFormat="1" x14ac:dyDescent="0.25">
      <c r="A29" s="663">
        <v>42186</v>
      </c>
      <c r="B29" s="424" t="s">
        <v>296</v>
      </c>
      <c r="C29" s="424" t="s">
        <v>296</v>
      </c>
      <c r="D29" s="424" t="s">
        <v>7</v>
      </c>
      <c r="E29" s="426" t="s">
        <v>14</v>
      </c>
      <c r="F29" s="424" t="s">
        <v>41</v>
      </c>
      <c r="G29" s="31">
        <v>1</v>
      </c>
      <c r="H29" s="424"/>
      <c r="I29" s="424"/>
      <c r="J29" s="31"/>
      <c r="K29" s="31"/>
      <c r="L29" s="31"/>
      <c r="M29" s="31"/>
      <c r="N29" s="31"/>
      <c r="O29" s="424"/>
      <c r="P29" s="133">
        <v>660</v>
      </c>
      <c r="Q29" s="133">
        <v>660</v>
      </c>
      <c r="R29" s="133"/>
      <c r="S29" s="133">
        <v>660</v>
      </c>
      <c r="T29" s="133">
        <f ca="1">IF(Data_Shelter_t[[#This Row],[Status]]="Open",Data_Shelter_t[[#This Row],[HH Covered]],0)</f>
        <v>660</v>
      </c>
      <c r="U29" s="640" t="s">
        <v>128</v>
      </c>
      <c r="V29" s="642" t="str">
        <f ca="1">IFERROR(OFFSET(Camp_List[Status],MATCH(Data_Shelter_t[[#This Row],[Camp Name]],Camp_List[Camp Name],0)-1,0,1,1),"")</f>
        <v>Open</v>
      </c>
      <c r="W29" s="643">
        <f ca="1">IFERROR(Data_Shelter_t[[#This Row],[HH Covered]]/OFFSET(Camp_List[HH],MATCH(Data_Shelter_t[[#This Row],[Camp Name]],Camp_List[Camp Name],0)-1,0,1,1),"")</f>
        <v>0.42226487523992323</v>
      </c>
      <c r="X29" s="24">
        <f>Data_Shelter_t[[#This Row],['# of Permanent House Planned (Target)]]+Data_Shelter_t[[#This Row],['# of Individual Shelter Planned (Target)]]</f>
        <v>660</v>
      </c>
      <c r="Y29" s="665">
        <f>Data_Shelter_t[[#This Row],['# of Permanent House Built]]+Data_Shelter_t[[#This Row],['# of Individual Shelter Built]]</f>
        <v>660</v>
      </c>
    </row>
    <row r="30" spans="1:25" x14ac:dyDescent="0.25">
      <c r="A30" s="663">
        <v>42186</v>
      </c>
      <c r="B30" s="424" t="s">
        <v>288</v>
      </c>
      <c r="C30" s="424" t="s">
        <v>643</v>
      </c>
      <c r="D30" s="424" t="s">
        <v>7</v>
      </c>
      <c r="E30" s="641" t="s">
        <v>14</v>
      </c>
      <c r="F30" s="24" t="s">
        <v>41</v>
      </c>
      <c r="G30" s="31">
        <v>1</v>
      </c>
      <c r="H30" s="24"/>
      <c r="I30" s="24"/>
      <c r="J30" s="24"/>
      <c r="K30" s="24"/>
      <c r="L30" s="24"/>
      <c r="M30" s="24"/>
      <c r="N30" s="24"/>
      <c r="O30" s="24"/>
      <c r="P30" s="133">
        <v>36</v>
      </c>
      <c r="Q30" s="425"/>
      <c r="R30" s="640"/>
      <c r="S30" s="640">
        <v>0</v>
      </c>
      <c r="T30" s="640">
        <f ca="1">IF(Data_Shelter_t[[#This Row],[Status]]="Open",Data_Shelter_t[[#This Row],[HH Covered]],0)</f>
        <v>0</v>
      </c>
      <c r="U30" s="640" t="s">
        <v>128</v>
      </c>
      <c r="V30" s="642" t="str">
        <f ca="1">IFERROR(OFFSET(Camp_List[Status],MATCH(Data_Shelter_t[[#This Row],[Camp Name]],Camp_List[Camp Name],0)-1,0,1,1),"")</f>
        <v>Open</v>
      </c>
      <c r="W30" s="643">
        <f ca="1">IFERROR(Data_Shelter_t[[#This Row],[HH Covered]]/OFFSET(Camp_List[HH],MATCH(Data_Shelter_t[[#This Row],[Camp Name]],Camp_List[Camp Name],0)-1,0,1,1),"")</f>
        <v>0</v>
      </c>
      <c r="X30" s="24">
        <f>Data_Shelter_t[[#This Row],['# of Permanent House Planned (Target)]]+Data_Shelter_t[[#This Row],['# of Individual Shelter Planned (Target)]]</f>
        <v>36</v>
      </c>
      <c r="Y30" s="665">
        <f>Data_Shelter_t[[#This Row],['# of Permanent House Built]]+Data_Shelter_t[[#This Row],['# of Individual Shelter Built]]</f>
        <v>0</v>
      </c>
    </row>
    <row r="31" spans="1:25" x14ac:dyDescent="0.25">
      <c r="A31" s="663">
        <v>42186</v>
      </c>
      <c r="B31" s="424" t="s">
        <v>296</v>
      </c>
      <c r="C31" s="424" t="s">
        <v>296</v>
      </c>
      <c r="D31" s="424" t="s">
        <v>7</v>
      </c>
      <c r="E31" s="426" t="s">
        <v>18</v>
      </c>
      <c r="F31" s="424" t="s">
        <v>60</v>
      </c>
      <c r="G31" s="31">
        <v>1</v>
      </c>
      <c r="H31" s="424"/>
      <c r="I31" s="424"/>
      <c r="J31" s="31"/>
      <c r="K31" s="31"/>
      <c r="L31" s="31"/>
      <c r="M31" s="31">
        <v>3</v>
      </c>
      <c r="N31" s="31"/>
      <c r="O31" s="424"/>
      <c r="P31" s="424"/>
      <c r="Q31" s="424"/>
      <c r="R31" s="133"/>
      <c r="S31" s="133">
        <v>0</v>
      </c>
      <c r="T31" s="133">
        <f ca="1">IF(Data_Shelter_t[[#This Row],[Status]]="Open",Data_Shelter_t[[#This Row],[HH Covered]],0)</f>
        <v>0</v>
      </c>
      <c r="U31" s="640" t="s">
        <v>149</v>
      </c>
      <c r="V31" s="642" t="str">
        <f ca="1">IFERROR(OFFSET(Camp_List[Status],MATCH(Data_Shelter_t[[#This Row],[Camp Name]],Camp_List[Camp Name],0)-1,0,1,1),"")</f>
        <v>Open</v>
      </c>
      <c r="W31" s="643">
        <f ca="1">IFERROR(Data_Shelter_t[[#This Row],[HH Covered]]/OFFSET(Camp_List[HH],MATCH(Data_Shelter_t[[#This Row],[Camp Name]],Camp_List[Camp Name],0)-1,0,1,1),"")</f>
        <v>0</v>
      </c>
      <c r="X31" s="24">
        <f>Data_Shelter_t[[#This Row],['# of Permanent House Planned (Target)]]+Data_Shelter_t[[#This Row],['# of Individual Shelter Planned (Target)]]</f>
        <v>3</v>
      </c>
      <c r="Y31" s="665">
        <f>Data_Shelter_t[[#This Row],['# of Permanent House Built]]+Data_Shelter_t[[#This Row],['# of Individual Shelter Built]]</f>
        <v>0</v>
      </c>
    </row>
    <row r="32" spans="1:25" x14ac:dyDescent="0.25">
      <c r="A32" s="663">
        <v>42186</v>
      </c>
      <c r="B32" s="424" t="s">
        <v>296</v>
      </c>
      <c r="C32" s="424" t="s">
        <v>296</v>
      </c>
      <c r="D32" s="424" t="s">
        <v>7</v>
      </c>
      <c r="E32" s="426" t="s">
        <v>18</v>
      </c>
      <c r="F32" s="424" t="s">
        <v>59</v>
      </c>
      <c r="G32" s="31">
        <v>1</v>
      </c>
      <c r="H32" s="424"/>
      <c r="I32" s="424"/>
      <c r="J32" s="31"/>
      <c r="K32" s="31"/>
      <c r="L32" s="31"/>
      <c r="M32" s="31">
        <v>59</v>
      </c>
      <c r="N32" s="31"/>
      <c r="O32" s="424"/>
      <c r="P32" s="424"/>
      <c r="Q32" s="424"/>
      <c r="R32" s="133"/>
      <c r="S32" s="133">
        <v>0</v>
      </c>
      <c r="T32" s="133">
        <f ca="1">IF(Data_Shelter_t[[#This Row],[Status]]="Open",Data_Shelter_t[[#This Row],[HH Covered]],0)</f>
        <v>0</v>
      </c>
      <c r="U32" s="640" t="s">
        <v>148</v>
      </c>
      <c r="V32" s="642" t="str">
        <f ca="1">IFERROR(OFFSET(Camp_List[Status],MATCH(Data_Shelter_t[[#This Row],[Camp Name]],Camp_List[Camp Name],0)-1,0,1,1),"")</f>
        <v>Open</v>
      </c>
      <c r="W32" s="643">
        <f ca="1">IFERROR(Data_Shelter_t[[#This Row],[HH Covered]]/OFFSET(Camp_List[HH],MATCH(Data_Shelter_t[[#This Row],[Camp Name]],Camp_List[Camp Name],0)-1,0,1,1),"")</f>
        <v>0</v>
      </c>
      <c r="X32" s="24">
        <f>Data_Shelter_t[[#This Row],['# of Permanent House Planned (Target)]]+Data_Shelter_t[[#This Row],['# of Individual Shelter Planned (Target)]]</f>
        <v>59</v>
      </c>
      <c r="Y32" s="665">
        <f>Data_Shelter_t[[#This Row],['# of Permanent House Built]]+Data_Shelter_t[[#This Row],['# of Individual Shelter Built]]</f>
        <v>0</v>
      </c>
    </row>
    <row r="33" spans="1:25" s="102" customFormat="1" x14ac:dyDescent="0.25">
      <c r="A33" s="663">
        <v>42186</v>
      </c>
      <c r="B33" s="424" t="s">
        <v>296</v>
      </c>
      <c r="C33" s="424" t="s">
        <v>296</v>
      </c>
      <c r="D33" s="424" t="s">
        <v>7</v>
      </c>
      <c r="E33" s="426" t="s">
        <v>16</v>
      </c>
      <c r="F33" s="424" t="s">
        <v>56</v>
      </c>
      <c r="G33" s="31">
        <v>1</v>
      </c>
      <c r="H33" s="424"/>
      <c r="I33" s="424"/>
      <c r="J33" s="31"/>
      <c r="K33" s="31"/>
      <c r="L33" s="31"/>
      <c r="M33" s="31"/>
      <c r="N33" s="31"/>
      <c r="O33" s="424"/>
      <c r="P33" s="133">
        <v>32</v>
      </c>
      <c r="Q33" s="133">
        <v>32</v>
      </c>
      <c r="R33" s="133"/>
      <c r="S33" s="133">
        <v>32</v>
      </c>
      <c r="T33" s="133">
        <f ca="1">IF(Data_Shelter_t[[#This Row],[Status]]="Open",Data_Shelter_t[[#This Row],[HH Covered]],0)</f>
        <v>32</v>
      </c>
      <c r="U33" s="640" t="s">
        <v>143</v>
      </c>
      <c r="V33" s="642" t="str">
        <f ca="1">IFERROR(OFFSET(Camp_List[Status],MATCH(Data_Shelter_t[[#This Row],[Camp Name]],Camp_List[Camp Name],0)-1,0,1,1),"")</f>
        <v>Open</v>
      </c>
      <c r="W33" s="643">
        <f ca="1">IFERROR(Data_Shelter_t[[#This Row],[HH Covered]]/OFFSET(Camp_List[HH],MATCH(Data_Shelter_t[[#This Row],[Camp Name]],Camp_List[Camp Name],0)-1,0,1,1),"")</f>
        <v>1</v>
      </c>
      <c r="X33" s="24">
        <f>Data_Shelter_t[[#This Row],['# of Permanent House Planned (Target)]]+Data_Shelter_t[[#This Row],['# of Individual Shelter Planned (Target)]]</f>
        <v>32</v>
      </c>
      <c r="Y33" s="665">
        <f>Data_Shelter_t[[#This Row],['# of Permanent House Built]]+Data_Shelter_t[[#This Row],['# of Individual Shelter Built]]</f>
        <v>32</v>
      </c>
    </row>
    <row r="34" spans="1:25" s="102" customFormat="1" x14ac:dyDescent="0.25">
      <c r="A34" s="663">
        <v>42186</v>
      </c>
      <c r="B34" s="424" t="s">
        <v>296</v>
      </c>
      <c r="C34" s="424" t="s">
        <v>296</v>
      </c>
      <c r="D34" s="424" t="s">
        <v>7</v>
      </c>
      <c r="E34" s="426" t="s">
        <v>16</v>
      </c>
      <c r="F34" s="424" t="s">
        <v>55</v>
      </c>
      <c r="G34" s="31">
        <v>1</v>
      </c>
      <c r="H34" s="424"/>
      <c r="I34" s="424"/>
      <c r="J34" s="31"/>
      <c r="K34" s="31"/>
      <c r="L34" s="31"/>
      <c r="M34" s="31"/>
      <c r="N34" s="31"/>
      <c r="O34" s="424"/>
      <c r="P34" s="133">
        <v>56</v>
      </c>
      <c r="Q34" s="133">
        <v>56</v>
      </c>
      <c r="R34" s="133"/>
      <c r="S34" s="133">
        <v>56</v>
      </c>
      <c r="T34" s="133">
        <f ca="1">IF(Data_Shelter_t[[#This Row],[Status]]="Open",Data_Shelter_t[[#This Row],[HH Covered]],0)</f>
        <v>56</v>
      </c>
      <c r="U34" s="640" t="s">
        <v>142</v>
      </c>
      <c r="V34" s="642" t="str">
        <f ca="1">IFERROR(OFFSET(Camp_List[Status],MATCH(Data_Shelter_t[[#This Row],[Camp Name]],Camp_List[Camp Name],0)-1,0,1,1),"")</f>
        <v>Open</v>
      </c>
      <c r="W34" s="643">
        <f ca="1">IFERROR(Data_Shelter_t[[#This Row],[HH Covered]]/OFFSET(Camp_List[HH],MATCH(Data_Shelter_t[[#This Row],[Camp Name]],Camp_List[Camp Name],0)-1,0,1,1),"")</f>
        <v>1.037037037037037</v>
      </c>
      <c r="X34" s="24">
        <f>Data_Shelter_t[[#This Row],['# of Permanent House Planned (Target)]]+Data_Shelter_t[[#This Row],['# of Individual Shelter Planned (Target)]]</f>
        <v>56</v>
      </c>
      <c r="Y34" s="665">
        <f>Data_Shelter_t[[#This Row],['# of Permanent House Built]]+Data_Shelter_t[[#This Row],['# of Individual Shelter Built]]</f>
        <v>56</v>
      </c>
    </row>
    <row r="35" spans="1:25" x14ac:dyDescent="0.25">
      <c r="A35" s="663">
        <v>42186</v>
      </c>
      <c r="B35" s="424" t="s">
        <v>288</v>
      </c>
      <c r="C35" s="424" t="s">
        <v>288</v>
      </c>
      <c r="D35" s="424" t="s">
        <v>7</v>
      </c>
      <c r="E35" s="426" t="s">
        <v>19</v>
      </c>
      <c r="F35" s="424" t="s">
        <v>78</v>
      </c>
      <c r="G35" s="31">
        <v>1</v>
      </c>
      <c r="H35" s="424"/>
      <c r="I35" s="424"/>
      <c r="J35" s="31"/>
      <c r="K35" s="31"/>
      <c r="L35" s="31"/>
      <c r="M35" s="31">
        <v>72</v>
      </c>
      <c r="N35" s="31">
        <v>72</v>
      </c>
      <c r="O35" s="424"/>
      <c r="P35" s="424"/>
      <c r="Q35" s="424"/>
      <c r="R35" s="133"/>
      <c r="S35" s="133">
        <v>72</v>
      </c>
      <c r="T35" s="133">
        <f ca="1">IF(Data_Shelter_t[[#This Row],[Status]]="Open",Data_Shelter_t[[#This Row],[HH Covered]],0)</f>
        <v>72</v>
      </c>
      <c r="U35" s="640" t="s">
        <v>167</v>
      </c>
      <c r="V35" s="642" t="str">
        <f ca="1">IFERROR(OFFSET(Camp_List[Status],MATCH(Data_Shelter_t[[#This Row],[Camp Name]],Camp_List[Camp Name],0)-1,0,1,1),"")</f>
        <v>Open</v>
      </c>
      <c r="W35" s="643">
        <f ca="1">IFERROR(Data_Shelter_t[[#This Row],[HH Covered]]/OFFSET(Camp_List[HH],MATCH(Data_Shelter_t[[#This Row],[Camp Name]],Camp_List[Camp Name],0)-1,0,1,1),"")</f>
        <v>1</v>
      </c>
      <c r="X35" s="24">
        <f>Data_Shelter_t[[#This Row],['# of Permanent House Planned (Target)]]+Data_Shelter_t[[#This Row],['# of Individual Shelter Planned (Target)]]</f>
        <v>72</v>
      </c>
      <c r="Y35" s="665">
        <f>Data_Shelter_t[[#This Row],['# of Permanent House Built]]+Data_Shelter_t[[#This Row],['# of Individual Shelter Built]]</f>
        <v>72</v>
      </c>
    </row>
    <row r="36" spans="1:25" s="102" customFormat="1" x14ac:dyDescent="0.25">
      <c r="A36" s="663">
        <v>42186</v>
      </c>
      <c r="B36" s="424" t="s">
        <v>296</v>
      </c>
      <c r="C36" s="424" t="s">
        <v>296</v>
      </c>
      <c r="D36" s="424" t="s">
        <v>7</v>
      </c>
      <c r="E36" s="426" t="s">
        <v>15</v>
      </c>
      <c r="F36" s="424" t="s">
        <v>51</v>
      </c>
      <c r="G36" s="31">
        <v>1</v>
      </c>
      <c r="H36" s="424"/>
      <c r="I36" s="424"/>
      <c r="J36" s="31"/>
      <c r="K36" s="31"/>
      <c r="L36" s="31"/>
      <c r="M36" s="31"/>
      <c r="N36" s="31"/>
      <c r="O36" s="424"/>
      <c r="P36" s="133">
        <v>116</v>
      </c>
      <c r="Q36" s="424"/>
      <c r="R36" s="133"/>
      <c r="S36" s="133">
        <v>0</v>
      </c>
      <c r="T36" s="133">
        <f ca="1">IF(Data_Shelter_t[[#This Row],[Status]]="Open",Data_Shelter_t[[#This Row],[HH Covered]],0)</f>
        <v>0</v>
      </c>
      <c r="U36" s="640" t="s">
        <v>138</v>
      </c>
      <c r="V36" s="642" t="str">
        <f ca="1">IFERROR(OFFSET(Camp_List[Status],MATCH(Data_Shelter_t[[#This Row],[Camp Name]],Camp_List[Camp Name],0)-1,0,1,1),"")</f>
        <v>Open</v>
      </c>
      <c r="W36" s="643">
        <f ca="1">IFERROR(Data_Shelter_t[[#This Row],[HH Covered]]/OFFSET(Camp_List[HH],MATCH(Data_Shelter_t[[#This Row],[Camp Name]],Camp_List[Camp Name],0)-1,0,1,1),"")</f>
        <v>0</v>
      </c>
      <c r="X36" s="640">
        <f>Data_Shelter_t[[#This Row],['# of Permanent House Planned (Target)]]+Data_Shelter_t[[#This Row],['# of Individual Shelter Planned (Target)]]</f>
        <v>116</v>
      </c>
      <c r="Y36" s="666">
        <f>Data_Shelter_t[[#This Row],['# of Permanent House Built]]+Data_Shelter_t[[#This Row],['# of Individual Shelter Built]]</f>
        <v>0</v>
      </c>
    </row>
    <row r="37" spans="1:25" x14ac:dyDescent="0.25">
      <c r="A37" s="663">
        <v>42186</v>
      </c>
      <c r="B37" s="424" t="s">
        <v>296</v>
      </c>
      <c r="C37" s="424" t="s">
        <v>296</v>
      </c>
      <c r="D37" s="424" t="s">
        <v>7</v>
      </c>
      <c r="E37" s="426" t="s">
        <v>15</v>
      </c>
      <c r="F37" s="424" t="s">
        <v>50</v>
      </c>
      <c r="G37" s="31">
        <v>1</v>
      </c>
      <c r="H37" s="424"/>
      <c r="I37" s="424"/>
      <c r="J37" s="31"/>
      <c r="K37" s="31"/>
      <c r="L37" s="31"/>
      <c r="M37" s="31"/>
      <c r="N37" s="31"/>
      <c r="O37" s="424"/>
      <c r="P37" s="133">
        <v>236</v>
      </c>
      <c r="Q37" s="424"/>
      <c r="R37" s="133"/>
      <c r="S37" s="133">
        <v>0</v>
      </c>
      <c r="T37" s="133">
        <f ca="1">IF(Data_Shelter_t[[#This Row],[Status]]="Open",Data_Shelter_t[[#This Row],[HH Covered]],0)</f>
        <v>0</v>
      </c>
      <c r="U37" s="640" t="s">
        <v>137</v>
      </c>
      <c r="V37" s="642" t="str">
        <f ca="1">IFERROR(OFFSET(Camp_List[Status],MATCH(Data_Shelter_t[[#This Row],[Camp Name]],Camp_List[Camp Name],0)-1,0,1,1),"")</f>
        <v>Open</v>
      </c>
      <c r="W37" s="643">
        <f ca="1">IFERROR(Data_Shelter_t[[#This Row],[HH Covered]]/OFFSET(Camp_List[HH],MATCH(Data_Shelter_t[[#This Row],[Camp Name]],Camp_List[Camp Name],0)-1,0,1,1),"")</f>
        <v>0</v>
      </c>
      <c r="X37" s="640">
        <f>Data_Shelter_t[[#This Row],['# of Permanent House Planned (Target)]]+Data_Shelter_t[[#This Row],['# of Individual Shelter Planned (Target)]]</f>
        <v>236</v>
      </c>
      <c r="Y37" s="666">
        <f>Data_Shelter_t[[#This Row],['# of Permanent House Built]]+Data_Shelter_t[[#This Row],['# of Individual Shelter Built]]</f>
        <v>0</v>
      </c>
    </row>
    <row r="38" spans="1:25" x14ac:dyDescent="0.25">
      <c r="A38" s="663">
        <v>42186</v>
      </c>
      <c r="B38" s="424" t="s">
        <v>296</v>
      </c>
      <c r="C38" s="424" t="s">
        <v>296</v>
      </c>
      <c r="D38" s="424" t="s">
        <v>7</v>
      </c>
      <c r="E38" s="426" t="s">
        <v>15</v>
      </c>
      <c r="F38" s="424" t="s">
        <v>47</v>
      </c>
      <c r="G38" s="31">
        <v>1</v>
      </c>
      <c r="H38" s="424"/>
      <c r="I38" s="424"/>
      <c r="J38" s="31"/>
      <c r="K38" s="31"/>
      <c r="L38" s="31"/>
      <c r="M38" s="31"/>
      <c r="N38" s="31"/>
      <c r="O38" s="424"/>
      <c r="P38" s="133">
        <v>85</v>
      </c>
      <c r="Q38" s="424"/>
      <c r="R38" s="133"/>
      <c r="S38" s="133">
        <v>0</v>
      </c>
      <c r="T38" s="133">
        <f ca="1">IF(Data_Shelter_t[[#This Row],[Status]]="Open",Data_Shelter_t[[#This Row],[HH Covered]],0)</f>
        <v>0</v>
      </c>
      <c r="U38" s="640" t="s">
        <v>134</v>
      </c>
      <c r="V38" s="642" t="str">
        <f ca="1">IFERROR(OFFSET(Camp_List[Status],MATCH(Data_Shelter_t[[#This Row],[Camp Name]],Camp_List[Camp Name],0)-1,0,1,1),"")</f>
        <v>Open</v>
      </c>
      <c r="W38" s="643">
        <f ca="1">IFERROR(Data_Shelter_t[[#This Row],[HH Covered]]/OFFSET(Camp_List[HH],MATCH(Data_Shelter_t[[#This Row],[Camp Name]],Camp_List[Camp Name],0)-1,0,1,1),"")</f>
        <v>0</v>
      </c>
      <c r="X38" s="640">
        <f>Data_Shelter_t[[#This Row],['# of Permanent House Planned (Target)]]+Data_Shelter_t[[#This Row],['# of Individual Shelter Planned (Target)]]</f>
        <v>85</v>
      </c>
      <c r="Y38" s="666">
        <f>Data_Shelter_t[[#This Row],['# of Permanent House Built]]+Data_Shelter_t[[#This Row],['# of Individual Shelter Built]]</f>
        <v>0</v>
      </c>
    </row>
    <row r="39" spans="1:25" x14ac:dyDescent="0.25">
      <c r="A39" s="663">
        <v>42186</v>
      </c>
      <c r="B39" s="424" t="s">
        <v>296</v>
      </c>
      <c r="C39" s="424" t="s">
        <v>296</v>
      </c>
      <c r="D39" s="424" t="s">
        <v>7</v>
      </c>
      <c r="E39" s="426" t="s">
        <v>15</v>
      </c>
      <c r="F39" s="424" t="s">
        <v>53</v>
      </c>
      <c r="G39" s="31">
        <v>1</v>
      </c>
      <c r="H39" s="424"/>
      <c r="I39" s="424"/>
      <c r="J39" s="31"/>
      <c r="K39" s="31"/>
      <c r="L39" s="31"/>
      <c r="M39" s="31"/>
      <c r="N39" s="31"/>
      <c r="O39" s="424"/>
      <c r="P39" s="133">
        <v>144</v>
      </c>
      <c r="Q39" s="424"/>
      <c r="R39" s="133"/>
      <c r="S39" s="133">
        <v>0</v>
      </c>
      <c r="T39" s="133">
        <f ca="1">IF(Data_Shelter_t[[#This Row],[Status]]="Open",Data_Shelter_t[[#This Row],[HH Covered]],0)</f>
        <v>0</v>
      </c>
      <c r="U39" s="640" t="s">
        <v>140</v>
      </c>
      <c r="V39" s="642" t="str">
        <f ca="1">IFERROR(OFFSET(Camp_List[Status],MATCH(Data_Shelter_t[[#This Row],[Camp Name]],Camp_List[Camp Name],0)-1,0,1,1),"")</f>
        <v>Open</v>
      </c>
      <c r="W39" s="643">
        <f ca="1">IFERROR(Data_Shelter_t[[#This Row],[HH Covered]]/OFFSET(Camp_List[HH],MATCH(Data_Shelter_t[[#This Row],[Camp Name]],Camp_List[Camp Name],0)-1,0,1,1),"")</f>
        <v>0</v>
      </c>
      <c r="X39" s="640">
        <f>Data_Shelter_t[[#This Row],['# of Permanent House Planned (Target)]]+Data_Shelter_t[[#This Row],['# of Individual Shelter Planned (Target)]]</f>
        <v>144</v>
      </c>
      <c r="Y39" s="666">
        <f>Data_Shelter_t[[#This Row],['# of Permanent House Built]]+Data_Shelter_t[[#This Row],['# of Individual Shelter Built]]</f>
        <v>0</v>
      </c>
    </row>
    <row r="40" spans="1:25" x14ac:dyDescent="0.25">
      <c r="A40" s="663">
        <v>42186</v>
      </c>
      <c r="B40" s="424" t="s">
        <v>296</v>
      </c>
      <c r="C40" s="424" t="s">
        <v>296</v>
      </c>
      <c r="D40" s="424" t="s">
        <v>7</v>
      </c>
      <c r="E40" s="426" t="s">
        <v>15</v>
      </c>
      <c r="F40" s="24" t="s">
        <v>52</v>
      </c>
      <c r="G40" s="24">
        <v>1</v>
      </c>
      <c r="H40" s="24"/>
      <c r="I40" s="24"/>
      <c r="J40" s="24"/>
      <c r="K40" s="24"/>
      <c r="L40" s="24"/>
      <c r="M40" s="24"/>
      <c r="N40" s="24"/>
      <c r="O40" s="24"/>
      <c r="P40" s="640">
        <v>112</v>
      </c>
      <c r="Q40" s="425"/>
      <c r="R40" s="640"/>
      <c r="S40" s="640">
        <v>0</v>
      </c>
      <c r="T40" s="640">
        <f ca="1">IF(Data_Shelter_t[[#This Row],[Status]]="Open",Data_Shelter_t[[#This Row],[HH Covered]],0)</f>
        <v>0</v>
      </c>
      <c r="U40" s="640" t="s">
        <v>139</v>
      </c>
      <c r="V40" s="642" t="str">
        <f ca="1">IFERROR(OFFSET(Camp_List[Status],MATCH(Data_Shelter_t[[#This Row],[Camp Name]],Camp_List[Camp Name],0)-1,0,1,1),"")</f>
        <v>Open</v>
      </c>
      <c r="W40" s="643">
        <f ca="1">IFERROR(Data_Shelter_t[[#This Row],[HH Covered]]/OFFSET(Camp_List[HH],MATCH(Data_Shelter_t[[#This Row],[Camp Name]],Camp_List[Camp Name],0)-1,0,1,1),"")</f>
        <v>0</v>
      </c>
      <c r="X40" s="640">
        <f>Data_Shelter_t[[#This Row],['# of Permanent House Planned (Target)]]+Data_Shelter_t[[#This Row],['# of Individual Shelter Planned (Target)]]</f>
        <v>112</v>
      </c>
      <c r="Y40" s="666">
        <f>Data_Shelter_t[[#This Row],['# of Permanent House Built]]+Data_Shelter_t[[#This Row],['# of Individual Shelter Built]]</f>
        <v>0</v>
      </c>
    </row>
    <row r="41" spans="1:25" s="5" customFormat="1" x14ac:dyDescent="0.25">
      <c r="A41" s="663">
        <v>42186</v>
      </c>
      <c r="B41" s="424" t="s">
        <v>288</v>
      </c>
      <c r="C41" s="424" t="s">
        <v>643</v>
      </c>
      <c r="D41" s="424" t="s">
        <v>7</v>
      </c>
      <c r="E41" s="426" t="s">
        <v>11</v>
      </c>
      <c r="F41" s="24" t="s">
        <v>30</v>
      </c>
      <c r="G41" s="24">
        <v>1</v>
      </c>
      <c r="H41" s="24"/>
      <c r="I41" s="24"/>
      <c r="J41" s="24"/>
      <c r="K41" s="24"/>
      <c r="L41" s="24"/>
      <c r="M41" s="24"/>
      <c r="N41" s="24"/>
      <c r="O41" s="24"/>
      <c r="P41" s="640">
        <v>43</v>
      </c>
      <c r="Q41" s="425"/>
      <c r="R41" s="640"/>
      <c r="S41" s="640">
        <v>0</v>
      </c>
      <c r="T41" s="640">
        <f ca="1">IF(Data_Shelter_t[[#This Row],[Status]]="Open",Data_Shelter_t[[#This Row],[HH Covered]],0)</f>
        <v>0</v>
      </c>
      <c r="U41" s="640" t="s">
        <v>117</v>
      </c>
      <c r="V41" s="642" t="str">
        <f ca="1">IFERROR(OFFSET(Camp_List[Status],MATCH(Data_Shelter_t[[#This Row],[Camp Name]],Camp_List[Camp Name],0)-1,0,1,1),"")</f>
        <v>Open</v>
      </c>
      <c r="W41" s="643">
        <f ca="1">IFERROR(Data_Shelter_t[[#This Row],[HH Covered]]/OFFSET(Camp_List[HH],MATCH(Data_Shelter_t[[#This Row],[Camp Name]],Camp_List[Camp Name],0)-1,0,1,1),"")</f>
        <v>0</v>
      </c>
      <c r="X41" s="640">
        <f>Data_Shelter_t[[#This Row],['# of Permanent House Planned (Target)]]+Data_Shelter_t[[#This Row],['# of Individual Shelter Planned (Target)]]</f>
        <v>43</v>
      </c>
      <c r="Y41" s="666">
        <f>Data_Shelter_t[[#This Row],['# of Permanent House Built]]+Data_Shelter_t[[#This Row],['# of Individual Shelter Built]]</f>
        <v>0</v>
      </c>
    </row>
    <row r="42" spans="1:25" x14ac:dyDescent="0.25">
      <c r="A42" s="663">
        <v>42186</v>
      </c>
      <c r="B42" s="424" t="s">
        <v>288</v>
      </c>
      <c r="C42" s="424" t="s">
        <v>643</v>
      </c>
      <c r="D42" s="424" t="s">
        <v>7</v>
      </c>
      <c r="E42" s="426" t="s">
        <v>11</v>
      </c>
      <c r="F42" s="24" t="s">
        <v>32</v>
      </c>
      <c r="G42" s="24">
        <v>1</v>
      </c>
      <c r="H42" s="24"/>
      <c r="I42" s="24"/>
      <c r="J42" s="24"/>
      <c r="K42" s="24"/>
      <c r="L42" s="24"/>
      <c r="M42" s="24"/>
      <c r="N42" s="24"/>
      <c r="O42" s="24"/>
      <c r="P42" s="640">
        <v>114</v>
      </c>
      <c r="Q42" s="425"/>
      <c r="R42" s="640"/>
      <c r="S42" s="640">
        <v>0</v>
      </c>
      <c r="T42" s="640">
        <f ca="1">IF(Data_Shelter_t[[#This Row],[Status]]="Open",Data_Shelter_t[[#This Row],[HH Covered]],0)</f>
        <v>0</v>
      </c>
      <c r="U42" s="640" t="s">
        <v>119</v>
      </c>
      <c r="V42" s="642" t="str">
        <f ca="1">IFERROR(OFFSET(Camp_List[Status],MATCH(Data_Shelter_t[[#This Row],[Camp Name]],Camp_List[Camp Name],0)-1,0,1,1),"")</f>
        <v>Open</v>
      </c>
      <c r="W42" s="643">
        <f ca="1">IFERROR(Data_Shelter_t[[#This Row],[HH Covered]]/OFFSET(Camp_List[HH],MATCH(Data_Shelter_t[[#This Row],[Camp Name]],Camp_List[Camp Name],0)-1,0,1,1),"")</f>
        <v>0</v>
      </c>
      <c r="X42" s="640">
        <f>Data_Shelter_t[[#This Row],['# of Permanent House Planned (Target)]]+Data_Shelter_t[[#This Row],['# of Individual Shelter Planned (Target)]]</f>
        <v>114</v>
      </c>
      <c r="Y42" s="666">
        <f>Data_Shelter_t[[#This Row],['# of Permanent House Built]]+Data_Shelter_t[[#This Row],['# of Individual Shelter Built]]</f>
        <v>0</v>
      </c>
    </row>
    <row r="43" spans="1:25" x14ac:dyDescent="0.25">
      <c r="A43" s="663">
        <v>42186</v>
      </c>
      <c r="B43" s="424" t="s">
        <v>288</v>
      </c>
      <c r="C43" s="424" t="s">
        <v>643</v>
      </c>
      <c r="D43" s="424" t="s">
        <v>7</v>
      </c>
      <c r="E43" s="426" t="s">
        <v>11</v>
      </c>
      <c r="F43" s="24" t="s">
        <v>27</v>
      </c>
      <c r="G43" s="24">
        <v>1</v>
      </c>
      <c r="H43" s="24"/>
      <c r="I43" s="24"/>
      <c r="J43" s="24"/>
      <c r="K43" s="24"/>
      <c r="L43" s="24"/>
      <c r="M43" s="24"/>
      <c r="N43" s="24"/>
      <c r="O43" s="24"/>
      <c r="P43" s="640">
        <v>43</v>
      </c>
      <c r="Q43" s="425"/>
      <c r="R43" s="640"/>
      <c r="S43" s="640">
        <v>0</v>
      </c>
      <c r="T43" s="640">
        <f ca="1">IF(Data_Shelter_t[[#This Row],[Status]]="Open",Data_Shelter_t[[#This Row],[HH Covered]],0)</f>
        <v>0</v>
      </c>
      <c r="U43" s="640" t="s">
        <v>114</v>
      </c>
      <c r="V43" s="642" t="str">
        <f ca="1">IFERROR(OFFSET(Camp_List[Status],MATCH(Data_Shelter_t[[#This Row],[Camp Name]],Camp_List[Camp Name],0)-1,0,1,1),"")</f>
        <v>Open</v>
      </c>
      <c r="W43" s="643">
        <f ca="1">IFERROR(Data_Shelter_t[[#This Row],[HH Covered]]/OFFSET(Camp_List[HH],MATCH(Data_Shelter_t[[#This Row],[Camp Name]],Camp_List[Camp Name],0)-1,0,1,1),"")</f>
        <v>0</v>
      </c>
      <c r="X43" s="640">
        <f>Data_Shelter_t[[#This Row],['# of Permanent House Planned (Target)]]+Data_Shelter_t[[#This Row],['# of Individual Shelter Planned (Target)]]</f>
        <v>43</v>
      </c>
      <c r="Y43" s="666">
        <f>Data_Shelter_t[[#This Row],['# of Permanent House Built]]+Data_Shelter_t[[#This Row],['# of Individual Shelter Built]]</f>
        <v>0</v>
      </c>
    </row>
    <row r="44" spans="1:25" x14ac:dyDescent="0.25">
      <c r="A44" s="663">
        <v>42186</v>
      </c>
      <c r="B44" s="424" t="s">
        <v>288</v>
      </c>
      <c r="C44" s="424" t="s">
        <v>643</v>
      </c>
      <c r="D44" s="424" t="s">
        <v>7</v>
      </c>
      <c r="E44" s="426" t="s">
        <v>11</v>
      </c>
      <c r="F44" s="24" t="s">
        <v>26</v>
      </c>
      <c r="G44" s="24">
        <v>1</v>
      </c>
      <c r="H44" s="24"/>
      <c r="I44" s="24"/>
      <c r="J44" s="24"/>
      <c r="K44" s="24"/>
      <c r="L44" s="24"/>
      <c r="M44" s="24"/>
      <c r="N44" s="24"/>
      <c r="O44" s="24"/>
      <c r="P44" s="640">
        <v>107</v>
      </c>
      <c r="Q44" s="425"/>
      <c r="R44" s="640"/>
      <c r="S44" s="640">
        <v>0</v>
      </c>
      <c r="T44" s="640">
        <f ca="1">IF(Data_Shelter_t[[#This Row],[Status]]="Open",Data_Shelter_t[[#This Row],[HH Covered]],0)</f>
        <v>0</v>
      </c>
      <c r="U44" s="640" t="s">
        <v>113</v>
      </c>
      <c r="V44" s="642" t="str">
        <f ca="1">IFERROR(OFFSET(Camp_List[Status],MATCH(Data_Shelter_t[[#This Row],[Camp Name]],Camp_List[Camp Name],0)-1,0,1,1),"")</f>
        <v>Open</v>
      </c>
      <c r="W44" s="643">
        <f ca="1">IFERROR(Data_Shelter_t[[#This Row],[HH Covered]]/OFFSET(Camp_List[HH],MATCH(Data_Shelter_t[[#This Row],[Camp Name]],Camp_List[Camp Name],0)-1,0,1,1),"")</f>
        <v>0</v>
      </c>
      <c r="X44" s="640">
        <f>Data_Shelter_t[[#This Row],['# of Permanent House Planned (Target)]]+Data_Shelter_t[[#This Row],['# of Individual Shelter Planned (Target)]]</f>
        <v>107</v>
      </c>
      <c r="Y44" s="666">
        <f>Data_Shelter_t[[#This Row],['# of Permanent House Built]]+Data_Shelter_t[[#This Row],['# of Individual Shelter Built]]</f>
        <v>0</v>
      </c>
    </row>
    <row r="45" spans="1:25" x14ac:dyDescent="0.25">
      <c r="A45" s="663">
        <v>42186</v>
      </c>
      <c r="B45" s="424" t="s">
        <v>288</v>
      </c>
      <c r="C45" s="424" t="s">
        <v>643</v>
      </c>
      <c r="D45" s="424" t="s">
        <v>7</v>
      </c>
      <c r="E45" s="426" t="s">
        <v>11</v>
      </c>
      <c r="F45" s="24" t="s">
        <v>29</v>
      </c>
      <c r="G45" s="24">
        <v>1</v>
      </c>
      <c r="H45" s="24"/>
      <c r="I45" s="24"/>
      <c r="J45" s="24"/>
      <c r="K45" s="24"/>
      <c r="L45" s="24"/>
      <c r="M45" s="24"/>
      <c r="N45" s="24"/>
      <c r="O45" s="24"/>
      <c r="P45" s="640">
        <v>140</v>
      </c>
      <c r="Q45" s="425"/>
      <c r="R45" s="640"/>
      <c r="S45" s="640">
        <v>0</v>
      </c>
      <c r="T45" s="640">
        <f ca="1">IF(Data_Shelter_t[[#This Row],[Status]]="Open",Data_Shelter_t[[#This Row],[HH Covered]],0)</f>
        <v>0</v>
      </c>
      <c r="U45" s="640" t="s">
        <v>116</v>
      </c>
      <c r="V45" s="642" t="str">
        <f ca="1">IFERROR(OFFSET(Camp_List[Status],MATCH(Data_Shelter_t[[#This Row],[Camp Name]],Camp_List[Camp Name],0)-1,0,1,1),"")</f>
        <v>Open</v>
      </c>
      <c r="W45" s="643">
        <f ca="1">IFERROR(Data_Shelter_t[[#This Row],[HH Covered]]/OFFSET(Camp_List[HH],MATCH(Data_Shelter_t[[#This Row],[Camp Name]],Camp_List[Camp Name],0)-1,0,1,1),"")</f>
        <v>0</v>
      </c>
      <c r="X45" s="640">
        <f>Data_Shelter_t[[#This Row],['# of Permanent House Planned (Target)]]+Data_Shelter_t[[#This Row],['# of Individual Shelter Planned (Target)]]</f>
        <v>140</v>
      </c>
      <c r="Y45" s="666">
        <f>Data_Shelter_t[[#This Row],['# of Permanent House Built]]+Data_Shelter_t[[#This Row],['# of Individual Shelter Built]]</f>
        <v>0</v>
      </c>
    </row>
    <row r="46" spans="1:25" x14ac:dyDescent="0.25">
      <c r="A46" s="663">
        <v>42186</v>
      </c>
      <c r="B46" s="424" t="s">
        <v>288</v>
      </c>
      <c r="C46" s="424" t="s">
        <v>643</v>
      </c>
      <c r="D46" s="424" t="s">
        <v>7</v>
      </c>
      <c r="E46" s="426" t="s">
        <v>15</v>
      </c>
      <c r="F46" s="24" t="s">
        <v>48</v>
      </c>
      <c r="G46" s="24">
        <v>1</v>
      </c>
      <c r="H46" s="24"/>
      <c r="I46" s="24"/>
      <c r="J46" s="24"/>
      <c r="K46" s="24"/>
      <c r="L46" s="24"/>
      <c r="M46" s="24"/>
      <c r="N46" s="24"/>
      <c r="O46" s="24"/>
      <c r="P46" s="640">
        <v>52</v>
      </c>
      <c r="Q46" s="425"/>
      <c r="R46" s="640"/>
      <c r="S46" s="640">
        <v>0</v>
      </c>
      <c r="T46" s="640">
        <f ca="1">IF(Data_Shelter_t[[#This Row],[Status]]="Open",Data_Shelter_t[[#This Row],[HH Covered]],0)</f>
        <v>0</v>
      </c>
      <c r="U46" s="640" t="s">
        <v>135</v>
      </c>
      <c r="V46" s="642" t="str">
        <f ca="1">IFERROR(OFFSET(Camp_List[Status],MATCH(Data_Shelter_t[[#This Row],[Camp Name]],Camp_List[Camp Name],0)-1,0,1,1),"")</f>
        <v>Open</v>
      </c>
      <c r="W46" s="643">
        <f ca="1">IFERROR(Data_Shelter_t[[#This Row],[HH Covered]]/OFFSET(Camp_List[HH],MATCH(Data_Shelter_t[[#This Row],[Camp Name]],Camp_List[Camp Name],0)-1,0,1,1),"")</f>
        <v>0</v>
      </c>
      <c r="X46" s="640">
        <f>Data_Shelter_t[[#This Row],['# of Permanent House Planned (Target)]]+Data_Shelter_t[[#This Row],['# of Individual Shelter Planned (Target)]]</f>
        <v>52</v>
      </c>
      <c r="Y46" s="666">
        <f>Data_Shelter_t[[#This Row],['# of Permanent House Built]]+Data_Shelter_t[[#This Row],['# of Individual Shelter Built]]</f>
        <v>0</v>
      </c>
    </row>
    <row r="47" spans="1:25" s="5" customFormat="1" x14ac:dyDescent="0.25">
      <c r="A47" s="663">
        <v>42186</v>
      </c>
      <c r="B47" s="424" t="s">
        <v>288</v>
      </c>
      <c r="C47" s="424" t="s">
        <v>643</v>
      </c>
      <c r="D47" s="424" t="s">
        <v>7</v>
      </c>
      <c r="E47" s="426" t="s">
        <v>14</v>
      </c>
      <c r="F47" s="24" t="s">
        <v>42</v>
      </c>
      <c r="G47" s="24">
        <v>1</v>
      </c>
      <c r="H47" s="24"/>
      <c r="I47" s="24"/>
      <c r="J47" s="24"/>
      <c r="K47" s="24"/>
      <c r="L47" s="24"/>
      <c r="M47" s="24"/>
      <c r="N47" s="24"/>
      <c r="O47" s="24"/>
      <c r="P47" s="640">
        <v>232</v>
      </c>
      <c r="Q47" s="425"/>
      <c r="R47" s="640"/>
      <c r="S47" s="640">
        <v>0</v>
      </c>
      <c r="T47" s="640">
        <f ca="1">IF(Data_Shelter_t[[#This Row],[Status]]="Open",Data_Shelter_t[[#This Row],[HH Covered]],0)</f>
        <v>0</v>
      </c>
      <c r="U47" s="640" t="s">
        <v>129</v>
      </c>
      <c r="V47" s="642" t="str">
        <f ca="1">IFERROR(OFFSET(Camp_List[Status],MATCH(Data_Shelter_t[[#This Row],[Camp Name]],Camp_List[Camp Name],0)-1,0,1,1),"")</f>
        <v>Open</v>
      </c>
      <c r="W47" s="643">
        <f ca="1">IFERROR(Data_Shelter_t[[#This Row],[HH Covered]]/OFFSET(Camp_List[HH],MATCH(Data_Shelter_t[[#This Row],[Camp Name]],Camp_List[Camp Name],0)-1,0,1,1),"")</f>
        <v>0</v>
      </c>
      <c r="X47" s="640">
        <f>Data_Shelter_t[[#This Row],['# of Permanent House Planned (Target)]]+Data_Shelter_t[[#This Row],['# of Individual Shelter Planned (Target)]]</f>
        <v>232</v>
      </c>
      <c r="Y47" s="666">
        <f>Data_Shelter_t[[#This Row],['# of Permanent House Built]]+Data_Shelter_t[[#This Row],['# of Individual Shelter Built]]</f>
        <v>0</v>
      </c>
    </row>
    <row r="48" spans="1:25" s="5" customFormat="1" x14ac:dyDescent="0.25">
      <c r="A48" s="663">
        <v>42186</v>
      </c>
      <c r="B48" s="424" t="s">
        <v>296</v>
      </c>
      <c r="C48" s="424" t="s">
        <v>296</v>
      </c>
      <c r="D48" s="424" t="s">
        <v>7</v>
      </c>
      <c r="E48" s="426" t="s">
        <v>14</v>
      </c>
      <c r="F48" s="24" t="s">
        <v>42</v>
      </c>
      <c r="G48" s="24">
        <v>1</v>
      </c>
      <c r="H48" s="24"/>
      <c r="I48" s="24"/>
      <c r="J48" s="24"/>
      <c r="K48" s="24"/>
      <c r="L48" s="24"/>
      <c r="M48" s="24"/>
      <c r="N48" s="24"/>
      <c r="O48" s="24"/>
      <c r="P48" s="640">
        <v>647</v>
      </c>
      <c r="Q48" s="425"/>
      <c r="R48" s="640"/>
      <c r="S48" s="640">
        <v>0</v>
      </c>
      <c r="T48" s="640">
        <f ca="1">IF(Data_Shelter_t[[#This Row],[Status]]="Open",Data_Shelter_t[[#This Row],[HH Covered]],0)</f>
        <v>0</v>
      </c>
      <c r="U48" s="640" t="s">
        <v>129</v>
      </c>
      <c r="V48" s="642" t="str">
        <f ca="1">IFERROR(OFFSET(Camp_List[Status],MATCH(Data_Shelter_t[[#This Row],[Camp Name]],Camp_List[Camp Name],0)-1,0,1,1),"")</f>
        <v>Open</v>
      </c>
      <c r="W48" s="643">
        <f ca="1">IFERROR(Data_Shelter_t[[#This Row],[HH Covered]]/OFFSET(Camp_List[HH],MATCH(Data_Shelter_t[[#This Row],[Camp Name]],Camp_List[Camp Name],0)-1,0,1,1),"")</f>
        <v>0</v>
      </c>
      <c r="X48" s="640">
        <f>Data_Shelter_t[[#This Row],['# of Permanent House Planned (Target)]]+Data_Shelter_t[[#This Row],['# of Individual Shelter Planned (Target)]]</f>
        <v>647</v>
      </c>
      <c r="Y48" s="666">
        <f>Data_Shelter_t[[#This Row],['# of Permanent House Built]]+Data_Shelter_t[[#This Row],['# of Individual Shelter Built]]</f>
        <v>0</v>
      </c>
    </row>
    <row r="49" spans="1:25" s="5" customFormat="1" x14ac:dyDescent="0.25">
      <c r="A49" s="663">
        <v>42186</v>
      </c>
      <c r="B49" s="424" t="s">
        <v>296</v>
      </c>
      <c r="C49" s="424" t="s">
        <v>296</v>
      </c>
      <c r="D49" s="424" t="s">
        <v>7</v>
      </c>
      <c r="E49" s="426" t="s">
        <v>14</v>
      </c>
      <c r="F49" s="24" t="s">
        <v>41</v>
      </c>
      <c r="G49" s="24">
        <v>1</v>
      </c>
      <c r="H49" s="24"/>
      <c r="I49" s="24"/>
      <c r="J49" s="24"/>
      <c r="K49" s="24"/>
      <c r="L49" s="24"/>
      <c r="M49" s="24"/>
      <c r="N49" s="24"/>
      <c r="O49" s="24"/>
      <c r="P49" s="640">
        <v>642</v>
      </c>
      <c r="Q49" s="425"/>
      <c r="R49" s="640"/>
      <c r="S49" s="640">
        <v>0</v>
      </c>
      <c r="T49" s="640">
        <f ca="1">IF(Data_Shelter_t[[#This Row],[Status]]="Open",Data_Shelter_t[[#This Row],[HH Covered]],0)</f>
        <v>0</v>
      </c>
      <c r="U49" s="640" t="s">
        <v>128</v>
      </c>
      <c r="V49" s="642" t="str">
        <f ca="1">IFERROR(OFFSET(Camp_List[Status],MATCH(Data_Shelter_t[[#This Row],[Camp Name]],Camp_List[Camp Name],0)-1,0,1,1),"")</f>
        <v>Open</v>
      </c>
      <c r="W49" s="643">
        <f ca="1">IFERROR(Data_Shelter_t[[#This Row],[HH Covered]]/OFFSET(Camp_List[HH],MATCH(Data_Shelter_t[[#This Row],[Camp Name]],Camp_List[Camp Name],0)-1,0,1,1),"")</f>
        <v>0</v>
      </c>
      <c r="X49" s="640">
        <f>Data_Shelter_t[[#This Row],['# of Permanent House Planned (Target)]]+Data_Shelter_t[[#This Row],['# of Individual Shelter Planned (Target)]]</f>
        <v>642</v>
      </c>
      <c r="Y49" s="666">
        <f>Data_Shelter_t[[#This Row],['# of Permanent House Built]]+Data_Shelter_t[[#This Row],['# of Individual Shelter Built]]</f>
        <v>0</v>
      </c>
    </row>
    <row r="50" spans="1:25" x14ac:dyDescent="0.25">
      <c r="A50" s="663">
        <v>42030</v>
      </c>
      <c r="B50" s="424" t="s">
        <v>288</v>
      </c>
      <c r="C50" s="424" t="s">
        <v>288</v>
      </c>
      <c r="D50" s="424" t="s">
        <v>7</v>
      </c>
      <c r="E50" s="426" t="s">
        <v>14</v>
      </c>
      <c r="F50" s="24" t="s">
        <v>42</v>
      </c>
      <c r="G50" s="24">
        <v>1</v>
      </c>
      <c r="H50" s="24">
        <v>110</v>
      </c>
      <c r="I50" s="24">
        <v>110</v>
      </c>
      <c r="J50" s="24"/>
      <c r="K50" s="24"/>
      <c r="L50" s="24"/>
      <c r="M50" s="24"/>
      <c r="N50" s="24"/>
      <c r="O50" s="24"/>
      <c r="P50" s="425"/>
      <c r="Q50" s="425"/>
      <c r="R50" s="640"/>
      <c r="S50" s="640">
        <v>0</v>
      </c>
      <c r="T50" s="640">
        <f ca="1">IF(Data_Shelter_t[[#This Row],[Status]]="Open",Data_Shelter_t[[#This Row],[HH Covered]],0)</f>
        <v>0</v>
      </c>
      <c r="U50" s="640"/>
      <c r="V50" s="642" t="str">
        <f ca="1">IFERROR(OFFSET(Camp_List[Status],MATCH(Data_Shelter_t[[#This Row],[Camp Name]],Camp_List[Camp Name],0)-1,0,1,1),"")</f>
        <v>Open</v>
      </c>
      <c r="W50" s="643">
        <f ca="1">IFERROR(Data_Shelter_t[[#This Row],[HH Covered]]/OFFSET(Camp_List[HH],MATCH(Data_Shelter_t[[#This Row],[Camp Name]],Camp_List[Camp Name],0)-1,0,1,1),"")</f>
        <v>0</v>
      </c>
      <c r="X50" s="640">
        <f>Data_Shelter_t[[#This Row],['# of Permanent House Planned (Target)]]+Data_Shelter_t[[#This Row],['# of Individual Shelter Planned (Target)]]</f>
        <v>0</v>
      </c>
      <c r="Y50" s="666">
        <f>Data_Shelter_t[[#This Row],['# of Permanent House Built]]+Data_Shelter_t[[#This Row],['# of Individual Shelter Built]]</f>
        <v>0</v>
      </c>
    </row>
    <row r="51" spans="1:25" x14ac:dyDescent="0.25">
      <c r="A51" s="663">
        <v>41548</v>
      </c>
      <c r="B51" s="424" t="s">
        <v>296</v>
      </c>
      <c r="C51" s="424" t="s">
        <v>296</v>
      </c>
      <c r="D51" s="424" t="s">
        <v>7</v>
      </c>
      <c r="E51" s="426" t="s">
        <v>15</v>
      </c>
      <c r="F51" s="424" t="s">
        <v>46</v>
      </c>
      <c r="G51" s="31">
        <v>8</v>
      </c>
      <c r="H51" s="424"/>
      <c r="I51" s="424"/>
      <c r="J51" s="31">
        <v>2</v>
      </c>
      <c r="K51" s="31">
        <v>2</v>
      </c>
      <c r="L51" s="31"/>
      <c r="M51" s="31"/>
      <c r="N51" s="31"/>
      <c r="O51" s="424"/>
      <c r="P51" s="424"/>
      <c r="Q51" s="424"/>
      <c r="R51" s="133"/>
      <c r="S51" s="133">
        <v>16</v>
      </c>
      <c r="T51" s="133">
        <f ca="1">IF(Data_Shelter_t[[#This Row],[Status]]="Open",Data_Shelter_t[[#This Row],[HH Covered]],0)</f>
        <v>16</v>
      </c>
      <c r="U51" s="425" t="s">
        <v>133</v>
      </c>
      <c r="V51" s="699" t="str">
        <f ca="1">IFERROR(OFFSET(Camp_List[Status],MATCH(Data_Shelter_t[[#This Row],[Camp Name]],Camp_List[Camp Name],0)-1,0,1,1),"")</f>
        <v>Open</v>
      </c>
      <c r="W51" s="643">
        <f ca="1">IFERROR(Data_Shelter_t[[#This Row],[HH Covered]]/OFFSET(Camp_List[HH],MATCH(Data_Shelter_t[[#This Row],[Camp Name]],Camp_List[Camp Name],0)-1,0,1,1),"")</f>
        <v>0.66666666666666663</v>
      </c>
      <c r="X51" s="31">
        <f>Data_Shelter_t[[#This Row],['# of Permanent House Planned (Target)]]+Data_Shelter_t[[#This Row],['# of Individual Shelter Planned (Target)]]</f>
        <v>0</v>
      </c>
      <c r="Y51" s="662">
        <f>Data_Shelter_t[[#This Row],['# of Permanent House Built]]+Data_Shelter_t[[#This Row],['# of Individual Shelter Built]]</f>
        <v>0</v>
      </c>
    </row>
    <row r="52" spans="1:25" x14ac:dyDescent="0.25">
      <c r="A52" s="663">
        <v>41548</v>
      </c>
      <c r="B52" s="424" t="s">
        <v>296</v>
      </c>
      <c r="C52" s="424" t="s">
        <v>296</v>
      </c>
      <c r="D52" s="424" t="s">
        <v>7</v>
      </c>
      <c r="E52" s="426" t="s">
        <v>15</v>
      </c>
      <c r="F52" s="424" t="s">
        <v>49</v>
      </c>
      <c r="G52" s="31">
        <v>8</v>
      </c>
      <c r="H52" s="424"/>
      <c r="I52" s="424"/>
      <c r="J52" s="31">
        <v>2</v>
      </c>
      <c r="K52" s="31">
        <v>2</v>
      </c>
      <c r="L52" s="31"/>
      <c r="M52" s="31"/>
      <c r="N52" s="31"/>
      <c r="O52" s="424"/>
      <c r="P52" s="424"/>
      <c r="Q52" s="424"/>
      <c r="R52" s="133"/>
      <c r="S52" s="133">
        <v>16</v>
      </c>
      <c r="T52" s="133">
        <f ca="1">IF(Data_Shelter_t[[#This Row],[Status]]="Open",Data_Shelter_t[[#This Row],[HH Covered]],0)</f>
        <v>16</v>
      </c>
      <c r="U52" s="425" t="s">
        <v>136</v>
      </c>
      <c r="V52" s="699" t="str">
        <f ca="1">IFERROR(OFFSET(Camp_List[Status],MATCH(Data_Shelter_t[[#This Row],[Camp Name]],Camp_List[Camp Name],0)-1,0,1,1),"")</f>
        <v>Open</v>
      </c>
      <c r="W52" s="643">
        <f ca="1">IFERROR(Data_Shelter_t[[#This Row],[HH Covered]]/OFFSET(Camp_List[HH],MATCH(Data_Shelter_t[[#This Row],[Camp Name]],Camp_List[Camp Name],0)-1,0,1,1),"")</f>
        <v>1.1428571428571428</v>
      </c>
      <c r="X52" s="31">
        <f>Data_Shelter_t[[#This Row],['# of Permanent House Planned (Target)]]+Data_Shelter_t[[#This Row],['# of Individual Shelter Planned (Target)]]</f>
        <v>0</v>
      </c>
      <c r="Y52" s="662">
        <f>Data_Shelter_t[[#This Row],['# of Permanent House Built]]+Data_Shelter_t[[#This Row],['# of Individual Shelter Built]]</f>
        <v>0</v>
      </c>
    </row>
    <row r="53" spans="1:25" s="102" customFormat="1" x14ac:dyDescent="0.25">
      <c r="A53" s="663">
        <v>41548</v>
      </c>
      <c r="B53" s="424" t="s">
        <v>296</v>
      </c>
      <c r="C53" s="424" t="s">
        <v>296</v>
      </c>
      <c r="D53" s="424" t="s">
        <v>7</v>
      </c>
      <c r="E53" s="426" t="s">
        <v>16</v>
      </c>
      <c r="F53" s="424" t="s">
        <v>56</v>
      </c>
      <c r="G53" s="31">
        <v>8</v>
      </c>
      <c r="H53" s="424"/>
      <c r="I53" s="424"/>
      <c r="J53" s="31">
        <v>4</v>
      </c>
      <c r="K53" s="31">
        <v>4</v>
      </c>
      <c r="L53" s="31"/>
      <c r="M53" s="31"/>
      <c r="N53" s="31"/>
      <c r="O53" s="424"/>
      <c r="P53" s="424"/>
      <c r="Q53" s="424"/>
      <c r="R53" s="133"/>
      <c r="S53" s="133">
        <v>32</v>
      </c>
      <c r="T53" s="133">
        <f ca="1">IF(Data_Shelter_t[[#This Row],[Status]]="Open",Data_Shelter_t[[#This Row],[HH Covered]],0)</f>
        <v>32</v>
      </c>
      <c r="U53" s="425" t="s">
        <v>143</v>
      </c>
      <c r="V53" s="699" t="str">
        <f ca="1">IFERROR(OFFSET(Camp_List[Status],MATCH(Data_Shelter_t[[#This Row],[Camp Name]],Camp_List[Camp Name],0)-1,0,1,1),"")</f>
        <v>Open</v>
      </c>
      <c r="W53" s="643">
        <f ca="1">IFERROR(Data_Shelter_t[[#This Row],[HH Covered]]/OFFSET(Camp_List[HH],MATCH(Data_Shelter_t[[#This Row],[Camp Name]],Camp_List[Camp Name],0)-1,0,1,1),"")</f>
        <v>1</v>
      </c>
      <c r="X53" s="31">
        <f>Data_Shelter_t[[#This Row],['# of Permanent House Planned (Target)]]+Data_Shelter_t[[#This Row],['# of Individual Shelter Planned (Target)]]</f>
        <v>0</v>
      </c>
      <c r="Y53" s="662">
        <f>Data_Shelter_t[[#This Row],['# of Permanent House Built]]+Data_Shelter_t[[#This Row],['# of Individual Shelter Built]]</f>
        <v>0</v>
      </c>
    </row>
    <row r="54" spans="1:25" x14ac:dyDescent="0.25">
      <c r="A54" s="663">
        <v>41548</v>
      </c>
      <c r="B54" s="424" t="s">
        <v>291</v>
      </c>
      <c r="C54" s="424" t="s">
        <v>291</v>
      </c>
      <c r="D54" s="424" t="s">
        <v>7</v>
      </c>
      <c r="E54" s="426" t="s">
        <v>14</v>
      </c>
      <c r="F54" s="424" t="s">
        <v>40</v>
      </c>
      <c r="G54" s="31">
        <v>8</v>
      </c>
      <c r="H54" s="424"/>
      <c r="I54" s="424"/>
      <c r="J54" s="31">
        <v>96</v>
      </c>
      <c r="K54" s="31">
        <v>96</v>
      </c>
      <c r="L54" s="24">
        <v>0</v>
      </c>
      <c r="M54" s="31"/>
      <c r="N54" s="31"/>
      <c r="O54" s="424"/>
      <c r="P54" s="424"/>
      <c r="Q54" s="424"/>
      <c r="R54" s="133"/>
      <c r="S54" s="133">
        <v>768</v>
      </c>
      <c r="T54" s="133">
        <f ca="1">IF(Data_Shelter_t[[#This Row],[Status]]="Open",Data_Shelter_t[[#This Row],[HH Covered]],0)</f>
        <v>768</v>
      </c>
      <c r="U54" s="425" t="s">
        <v>127</v>
      </c>
      <c r="V54" s="699" t="str">
        <f ca="1">IFERROR(OFFSET(Camp_List[Status],MATCH(Data_Shelter_t[[#This Row],[Camp Name]],Camp_List[Camp Name],0)-1,0,1,1),"")</f>
        <v>Open</v>
      </c>
      <c r="W54" s="643">
        <f ca="1">IFERROR(Data_Shelter_t[[#This Row],[HH Covered]]/OFFSET(Camp_List[HH],MATCH(Data_Shelter_t[[#This Row],[Camp Name]],Camp_List[Camp Name],0)-1,0,1,1),"")</f>
        <v>0.66551126516464476</v>
      </c>
      <c r="X54" s="31">
        <f>Data_Shelter_t[[#This Row],['# of Permanent House Planned (Target)]]+Data_Shelter_t[[#This Row],['# of Individual Shelter Planned (Target)]]</f>
        <v>0</v>
      </c>
      <c r="Y54" s="662">
        <f>Data_Shelter_t[[#This Row],['# of Permanent House Built]]+Data_Shelter_t[[#This Row],['# of Individual Shelter Built]]</f>
        <v>0</v>
      </c>
    </row>
    <row r="55" spans="1:25" x14ac:dyDescent="0.25">
      <c r="A55" s="663">
        <v>41548</v>
      </c>
      <c r="B55" s="424" t="s">
        <v>296</v>
      </c>
      <c r="C55" s="424" t="s">
        <v>296</v>
      </c>
      <c r="D55" s="424" t="s">
        <v>7</v>
      </c>
      <c r="E55" s="426" t="s">
        <v>15</v>
      </c>
      <c r="F55" s="424" t="s">
        <v>48</v>
      </c>
      <c r="G55" s="31">
        <v>8</v>
      </c>
      <c r="H55" s="424"/>
      <c r="I55" s="424"/>
      <c r="J55" s="31">
        <v>7</v>
      </c>
      <c r="K55" s="31">
        <v>7</v>
      </c>
      <c r="L55" s="31"/>
      <c r="M55" s="31"/>
      <c r="N55" s="31"/>
      <c r="O55" s="424"/>
      <c r="P55" s="424"/>
      <c r="Q55" s="424"/>
      <c r="R55" s="133"/>
      <c r="S55" s="133">
        <v>56</v>
      </c>
      <c r="T55" s="133">
        <f ca="1">IF(Data_Shelter_t[[#This Row],[Status]]="Open",Data_Shelter_t[[#This Row],[HH Covered]],0)</f>
        <v>56</v>
      </c>
      <c r="U55" s="425" t="s">
        <v>135</v>
      </c>
      <c r="V55" s="699" t="str">
        <f ca="1">IFERROR(OFFSET(Camp_List[Status],MATCH(Data_Shelter_t[[#This Row],[Camp Name]],Camp_List[Camp Name],0)-1,0,1,1),"")</f>
        <v>Open</v>
      </c>
      <c r="W55" s="643">
        <f ca="1">IFERROR(Data_Shelter_t[[#This Row],[HH Covered]]/OFFSET(Camp_List[HH],MATCH(Data_Shelter_t[[#This Row],[Camp Name]],Camp_List[Camp Name],0)-1,0,1,1),"")</f>
        <v>0.60869565217391308</v>
      </c>
      <c r="X55" s="31">
        <f>Data_Shelter_t[[#This Row],['# of Permanent House Planned (Target)]]+Data_Shelter_t[[#This Row],['# of Individual Shelter Planned (Target)]]</f>
        <v>0</v>
      </c>
      <c r="Y55" s="662">
        <f>Data_Shelter_t[[#This Row],['# of Permanent House Built]]+Data_Shelter_t[[#This Row],['# of Individual Shelter Built]]</f>
        <v>0</v>
      </c>
    </row>
    <row r="56" spans="1:25" x14ac:dyDescent="0.25">
      <c r="A56" s="663">
        <v>41548</v>
      </c>
      <c r="B56" s="425" t="s">
        <v>296</v>
      </c>
      <c r="C56" s="425" t="s">
        <v>296</v>
      </c>
      <c r="D56" s="424" t="s">
        <v>7</v>
      </c>
      <c r="E56" s="440" t="s">
        <v>11</v>
      </c>
      <c r="F56" s="425" t="s">
        <v>30</v>
      </c>
      <c r="G56" s="24">
        <v>8</v>
      </c>
      <c r="H56" s="424"/>
      <c r="I56" s="424"/>
      <c r="J56" s="24">
        <v>10</v>
      </c>
      <c r="K56" s="24">
        <v>10</v>
      </c>
      <c r="L56" s="24"/>
      <c r="M56" s="31"/>
      <c r="N56" s="31"/>
      <c r="O56" s="424"/>
      <c r="P56" s="424"/>
      <c r="Q56" s="424"/>
      <c r="R56" s="133"/>
      <c r="S56" s="133">
        <v>80</v>
      </c>
      <c r="T56" s="133">
        <f ca="1">IF(Data_Shelter_t[[#This Row],[Status]]="Open",Data_Shelter_t[[#This Row],[HH Covered]],0)</f>
        <v>80</v>
      </c>
      <c r="U56" s="425" t="s">
        <v>117</v>
      </c>
      <c r="V56" s="699" t="str">
        <f ca="1">IFERROR(OFFSET(Camp_List[Status],MATCH(Data_Shelter_t[[#This Row],[Camp Name]],Camp_List[Camp Name],0)-1,0,1,1),"")</f>
        <v>Open</v>
      </c>
      <c r="W56" s="643">
        <f ca="1">IFERROR(Data_Shelter_t[[#This Row],[HH Covered]]/OFFSET(Camp_List[HH],MATCH(Data_Shelter_t[[#This Row],[Camp Name]],Camp_List[Camp Name],0)-1,0,1,1),"")</f>
        <v>0.93023255813953487</v>
      </c>
      <c r="X56" s="31">
        <f>Data_Shelter_t[[#This Row],['# of Permanent House Planned (Target)]]+Data_Shelter_t[[#This Row],['# of Individual Shelter Planned (Target)]]</f>
        <v>0</v>
      </c>
      <c r="Y56" s="662">
        <f>Data_Shelter_t[[#This Row],['# of Permanent House Built]]+Data_Shelter_t[[#This Row],['# of Individual Shelter Built]]</f>
        <v>0</v>
      </c>
    </row>
    <row r="57" spans="1:25" x14ac:dyDescent="0.25">
      <c r="A57" s="664">
        <v>41548</v>
      </c>
      <c r="B57" s="425" t="s">
        <v>296</v>
      </c>
      <c r="C57" s="425" t="s">
        <v>296</v>
      </c>
      <c r="D57" s="425" t="s">
        <v>7</v>
      </c>
      <c r="E57" s="440" t="s">
        <v>14</v>
      </c>
      <c r="F57" s="425" t="s">
        <v>39</v>
      </c>
      <c r="G57" s="24">
        <v>10</v>
      </c>
      <c r="H57" s="425"/>
      <c r="I57" s="425"/>
      <c r="J57" s="24">
        <v>3</v>
      </c>
      <c r="K57" s="24">
        <v>3</v>
      </c>
      <c r="L57" s="24"/>
      <c r="M57" s="24"/>
      <c r="N57" s="24"/>
      <c r="O57" s="425"/>
      <c r="P57" s="425"/>
      <c r="Q57" s="425"/>
      <c r="R57" s="133"/>
      <c r="S57" s="133">
        <v>30</v>
      </c>
      <c r="T57" s="133">
        <f ca="1">IF(Data_Shelter_t[[#This Row],[Status]]="Open",Data_Shelter_t[[#This Row],[HH Covered]],0)</f>
        <v>30</v>
      </c>
      <c r="U57" s="425" t="s">
        <v>126</v>
      </c>
      <c r="V57" s="699" t="str">
        <f ca="1">IFERROR(OFFSET(Camp_List[Status],MATCH(Data_Shelter_t[[#This Row],[Camp Name]],Camp_List[Camp Name],0)-1,0,1,1),"")</f>
        <v>Open</v>
      </c>
      <c r="W57" s="643">
        <f ca="1">IFERROR(Data_Shelter_t[[#This Row],[HH Covered]]/OFFSET(Camp_List[HH],MATCH(Data_Shelter_t[[#This Row],[Camp Name]],Camp_List[Camp Name],0)-1,0,1,1),"")</f>
        <v>1.4285714285714286</v>
      </c>
      <c r="X57" s="31">
        <f>Data_Shelter_t[[#This Row],['# of Permanent House Planned (Target)]]+Data_Shelter_t[[#This Row],['# of Individual Shelter Planned (Target)]]</f>
        <v>0</v>
      </c>
      <c r="Y57" s="662">
        <f>Data_Shelter_t[[#This Row],['# of Permanent House Built]]+Data_Shelter_t[[#This Row],['# of Individual Shelter Built]]</f>
        <v>0</v>
      </c>
    </row>
    <row r="58" spans="1:25" x14ac:dyDescent="0.25">
      <c r="A58" s="663">
        <v>41548</v>
      </c>
      <c r="B58" s="424" t="s">
        <v>296</v>
      </c>
      <c r="C58" s="424" t="s">
        <v>296</v>
      </c>
      <c r="D58" s="424" t="s">
        <v>7</v>
      </c>
      <c r="E58" s="426" t="s">
        <v>19</v>
      </c>
      <c r="F58" s="424" t="s">
        <v>61</v>
      </c>
      <c r="G58" s="31">
        <v>8</v>
      </c>
      <c r="H58" s="424"/>
      <c r="I58" s="424"/>
      <c r="J58" s="31">
        <v>52</v>
      </c>
      <c r="K58" s="31">
        <v>52</v>
      </c>
      <c r="L58" s="31"/>
      <c r="M58" s="31"/>
      <c r="N58" s="31"/>
      <c r="O58" s="424"/>
      <c r="P58" s="424"/>
      <c r="Q58" s="424"/>
      <c r="R58" s="133"/>
      <c r="S58" s="133">
        <v>416</v>
      </c>
      <c r="T58" s="133">
        <f ca="1">IF(Data_Shelter_t[[#This Row],[Status]]="Open",Data_Shelter_t[[#This Row],[HH Covered]],0)</f>
        <v>416</v>
      </c>
      <c r="U58" s="425" t="s">
        <v>150</v>
      </c>
      <c r="V58" s="699" t="str">
        <f ca="1">IFERROR(OFFSET(Camp_List[Status],MATCH(Data_Shelter_t[[#This Row],[Camp Name]],Camp_List[Camp Name],0)-1,0,1,1),"")</f>
        <v>Open</v>
      </c>
      <c r="W58" s="643">
        <f ca="1">IFERROR(Data_Shelter_t[[#This Row],[HH Covered]]/OFFSET(Camp_List[HH],MATCH(Data_Shelter_t[[#This Row],[Camp Name]],Camp_List[Camp Name],0)-1,0,1,1),"")</f>
        <v>1.0478589420654911</v>
      </c>
      <c r="X58" s="31">
        <f>Data_Shelter_t[[#This Row],['# of Permanent House Planned (Target)]]+Data_Shelter_t[[#This Row],['# of Individual Shelter Planned (Target)]]</f>
        <v>0</v>
      </c>
      <c r="Y58" s="662">
        <f>Data_Shelter_t[[#This Row],['# of Permanent House Built]]+Data_Shelter_t[[#This Row],['# of Individual Shelter Built]]</f>
        <v>0</v>
      </c>
    </row>
    <row r="59" spans="1:25" x14ac:dyDescent="0.25">
      <c r="A59" s="663">
        <v>41548</v>
      </c>
      <c r="B59" s="424" t="s">
        <v>455</v>
      </c>
      <c r="C59" s="424" t="s">
        <v>455</v>
      </c>
      <c r="D59" s="424" t="s">
        <v>7</v>
      </c>
      <c r="E59" s="426" t="s">
        <v>19</v>
      </c>
      <c r="F59" s="424" t="s">
        <v>650</v>
      </c>
      <c r="G59" s="31">
        <v>8</v>
      </c>
      <c r="H59" s="424"/>
      <c r="I59" s="424"/>
      <c r="J59" s="24">
        <v>50</v>
      </c>
      <c r="K59" s="31">
        <v>50</v>
      </c>
      <c r="L59" s="31"/>
      <c r="M59" s="31"/>
      <c r="N59" s="31"/>
      <c r="O59" s="424"/>
      <c r="P59" s="424"/>
      <c r="Q59" s="424"/>
      <c r="R59" s="133"/>
      <c r="S59" s="133">
        <v>400</v>
      </c>
      <c r="T59" s="133">
        <f ca="1">IF(Data_Shelter_t[[#This Row],[Status]]="Open",Data_Shelter_t[[#This Row],[HH Covered]],0)</f>
        <v>400</v>
      </c>
      <c r="U59" s="425" t="s">
        <v>652</v>
      </c>
      <c r="V59" s="699" t="str">
        <f ca="1">IFERROR(OFFSET(Camp_List[Status],MATCH(Data_Shelter_t[[#This Row],[Camp Name]],Camp_List[Camp Name],0)-1,0,1,1),"")</f>
        <v>Open</v>
      </c>
      <c r="W59" s="643">
        <f ca="1">IFERROR(Data_Shelter_t[[#This Row],[HH Covered]]/OFFSET(Camp_List[HH],MATCH(Data_Shelter_t[[#This Row],[Camp Name]],Camp_List[Camp Name],0)-1,0,1,1),"")</f>
        <v>0.4012036108324975</v>
      </c>
      <c r="X59" s="31">
        <f>Data_Shelter_t[[#This Row],['# of Permanent House Planned (Target)]]+Data_Shelter_t[[#This Row],['# of Individual Shelter Planned (Target)]]</f>
        <v>0</v>
      </c>
      <c r="Y59" s="662">
        <f>Data_Shelter_t[[#This Row],['# of Permanent House Built]]+Data_Shelter_t[[#This Row],['# of Individual Shelter Built]]</f>
        <v>0</v>
      </c>
    </row>
    <row r="60" spans="1:25" x14ac:dyDescent="0.25">
      <c r="A60" s="663">
        <v>41548</v>
      </c>
      <c r="B60" s="424" t="s">
        <v>296</v>
      </c>
      <c r="C60" s="424" t="s">
        <v>296</v>
      </c>
      <c r="D60" s="424" t="s">
        <v>7</v>
      </c>
      <c r="E60" s="426" t="s">
        <v>19</v>
      </c>
      <c r="F60" s="424" t="s">
        <v>650</v>
      </c>
      <c r="G60" s="31">
        <v>8</v>
      </c>
      <c r="H60" s="424"/>
      <c r="I60" s="424"/>
      <c r="J60" s="31">
        <v>40</v>
      </c>
      <c r="K60" s="31">
        <v>40</v>
      </c>
      <c r="L60" s="31"/>
      <c r="M60" s="31"/>
      <c r="N60" s="31"/>
      <c r="O60" s="424"/>
      <c r="P60" s="424"/>
      <c r="Q60" s="424"/>
      <c r="R60" s="133"/>
      <c r="S60" s="133">
        <v>320</v>
      </c>
      <c r="T60" s="133">
        <f ca="1">IF(Data_Shelter_t[[#This Row],[Status]]="Open",Data_Shelter_t[[#This Row],[HH Covered]],0)</f>
        <v>320</v>
      </c>
      <c r="U60" s="425" t="s">
        <v>652</v>
      </c>
      <c r="V60" s="699" t="str">
        <f ca="1">IFERROR(OFFSET(Camp_List[Status],MATCH(Data_Shelter_t[[#This Row],[Camp Name]],Camp_List[Camp Name],0)-1,0,1,1),"")</f>
        <v>Open</v>
      </c>
      <c r="W60" s="643">
        <f ca="1">IFERROR(Data_Shelter_t[[#This Row],[HH Covered]]/OFFSET(Camp_List[HH],MATCH(Data_Shelter_t[[#This Row],[Camp Name]],Camp_List[Camp Name],0)-1,0,1,1),"")</f>
        <v>0.32096288866599798</v>
      </c>
      <c r="X60" s="31">
        <f>Data_Shelter_t[[#This Row],['# of Permanent House Planned (Target)]]+Data_Shelter_t[[#This Row],['# of Individual Shelter Planned (Target)]]</f>
        <v>0</v>
      </c>
      <c r="Y60" s="662">
        <f>Data_Shelter_t[[#This Row],['# of Permanent House Built]]+Data_Shelter_t[[#This Row],['# of Individual Shelter Built]]</f>
        <v>0</v>
      </c>
    </row>
    <row r="61" spans="1:25" x14ac:dyDescent="0.25">
      <c r="A61" s="663">
        <v>41548</v>
      </c>
      <c r="B61" s="424" t="s">
        <v>581</v>
      </c>
      <c r="C61" s="424" t="s">
        <v>581</v>
      </c>
      <c r="D61" s="424" t="s">
        <v>7</v>
      </c>
      <c r="E61" s="426" t="s">
        <v>19</v>
      </c>
      <c r="F61" s="424" t="s">
        <v>650</v>
      </c>
      <c r="G61" s="31">
        <v>8</v>
      </c>
      <c r="H61" s="424"/>
      <c r="I61" s="424"/>
      <c r="J61" s="31">
        <v>5</v>
      </c>
      <c r="K61" s="31">
        <v>5</v>
      </c>
      <c r="L61" s="31"/>
      <c r="M61" s="31"/>
      <c r="N61" s="31"/>
      <c r="O61" s="424"/>
      <c r="P61" s="424"/>
      <c r="Q61" s="424"/>
      <c r="R61" s="133"/>
      <c r="S61" s="133">
        <v>40</v>
      </c>
      <c r="T61" s="133">
        <f ca="1">IF(Data_Shelter_t[[#This Row],[Status]]="Open",Data_Shelter_t[[#This Row],[HH Covered]],0)</f>
        <v>40</v>
      </c>
      <c r="U61" s="425" t="s">
        <v>652</v>
      </c>
      <c r="V61" s="699" t="str">
        <f ca="1">IFERROR(OFFSET(Camp_List[Status],MATCH(Data_Shelter_t[[#This Row],[Camp Name]],Camp_List[Camp Name],0)-1,0,1,1),"")</f>
        <v>Open</v>
      </c>
      <c r="W61" s="643">
        <f ca="1">IFERROR(Data_Shelter_t[[#This Row],[HH Covered]]/OFFSET(Camp_List[HH],MATCH(Data_Shelter_t[[#This Row],[Camp Name]],Camp_List[Camp Name],0)-1,0,1,1),"")</f>
        <v>4.0120361083249748E-2</v>
      </c>
      <c r="X61" s="31">
        <f>Data_Shelter_t[[#This Row],['# of Permanent House Planned (Target)]]+Data_Shelter_t[[#This Row],['# of Individual Shelter Planned (Target)]]</f>
        <v>0</v>
      </c>
      <c r="Y61" s="662">
        <f>Data_Shelter_t[[#This Row],['# of Permanent House Built]]+Data_Shelter_t[[#This Row],['# of Individual Shelter Built]]</f>
        <v>0</v>
      </c>
    </row>
    <row r="62" spans="1:25" x14ac:dyDescent="0.25">
      <c r="A62" s="663">
        <v>41548</v>
      </c>
      <c r="B62" s="424" t="s">
        <v>298</v>
      </c>
      <c r="C62" s="424" t="s">
        <v>298</v>
      </c>
      <c r="D62" s="424" t="s">
        <v>7</v>
      </c>
      <c r="E62" s="426" t="s">
        <v>19</v>
      </c>
      <c r="F62" s="424" t="s">
        <v>650</v>
      </c>
      <c r="G62" s="31">
        <v>8</v>
      </c>
      <c r="H62" s="424"/>
      <c r="I62" s="424"/>
      <c r="J62" s="31">
        <v>32</v>
      </c>
      <c r="K62" s="31">
        <v>32</v>
      </c>
      <c r="L62" s="31">
        <v>0</v>
      </c>
      <c r="M62" s="31"/>
      <c r="N62" s="31"/>
      <c r="O62" s="424"/>
      <c r="P62" s="424"/>
      <c r="Q62" s="424"/>
      <c r="R62" s="133"/>
      <c r="S62" s="133">
        <v>256</v>
      </c>
      <c r="T62" s="133">
        <f ca="1">IF(Data_Shelter_t[[#This Row],[Status]]="Open",Data_Shelter_t[[#This Row],[HH Covered]],0)</f>
        <v>256</v>
      </c>
      <c r="U62" s="425" t="s">
        <v>652</v>
      </c>
      <c r="V62" s="699" t="str">
        <f ca="1">IFERROR(OFFSET(Camp_List[Status],MATCH(Data_Shelter_t[[#This Row],[Camp Name]],Camp_List[Camp Name],0)-1,0,1,1),"")</f>
        <v>Open</v>
      </c>
      <c r="W62" s="643">
        <f ca="1">IFERROR(Data_Shelter_t[[#This Row],[HH Covered]]/OFFSET(Camp_List[HH],MATCH(Data_Shelter_t[[#This Row],[Camp Name]],Camp_List[Camp Name],0)-1,0,1,1),"")</f>
        <v>0.2567703109327984</v>
      </c>
      <c r="X62" s="31">
        <f>Data_Shelter_t[[#This Row],['# of Permanent House Planned (Target)]]+Data_Shelter_t[[#This Row],['# of Individual Shelter Planned (Target)]]</f>
        <v>0</v>
      </c>
      <c r="Y62" s="662">
        <f>Data_Shelter_t[[#This Row],['# of Permanent House Built]]+Data_Shelter_t[[#This Row],['# of Individual Shelter Built]]</f>
        <v>0</v>
      </c>
    </row>
    <row r="63" spans="1:25" x14ac:dyDescent="0.25">
      <c r="A63" s="663">
        <v>41548</v>
      </c>
      <c r="B63" s="425" t="s">
        <v>296</v>
      </c>
      <c r="C63" s="425" t="s">
        <v>296</v>
      </c>
      <c r="D63" s="425" t="s">
        <v>7</v>
      </c>
      <c r="E63" s="440" t="s">
        <v>19</v>
      </c>
      <c r="F63" s="425" t="s">
        <v>651</v>
      </c>
      <c r="G63" s="24">
        <v>8</v>
      </c>
      <c r="H63" s="425"/>
      <c r="I63" s="425"/>
      <c r="J63" s="24">
        <v>100</v>
      </c>
      <c r="K63" s="24">
        <v>100</v>
      </c>
      <c r="L63" s="24">
        <v>0</v>
      </c>
      <c r="M63" s="24"/>
      <c r="N63" s="24"/>
      <c r="O63" s="425"/>
      <c r="P63" s="425"/>
      <c r="Q63" s="425"/>
      <c r="R63" s="133"/>
      <c r="S63" s="133">
        <v>800</v>
      </c>
      <c r="T63" s="133">
        <f ca="1">IF(Data_Shelter_t[[#This Row],[Status]]="Open",Data_Shelter_t[[#This Row],[HH Covered]],0)</f>
        <v>800</v>
      </c>
      <c r="U63" s="425" t="s">
        <v>653</v>
      </c>
      <c r="V63" s="699" t="str">
        <f ca="1">IFERROR(OFFSET(Camp_List[Status],MATCH(Data_Shelter_t[[#This Row],[Camp Name]],Camp_List[Camp Name],0)-1,0,1,1),"")</f>
        <v>Open</v>
      </c>
      <c r="W63" s="643">
        <f ca="1">IFERROR(Data_Shelter_t[[#This Row],[HH Covered]]/OFFSET(Camp_List[HH],MATCH(Data_Shelter_t[[#This Row],[Camp Name]],Camp_List[Camp Name],0)-1,0,1,1),"")</f>
        <v>0.61680801850424061</v>
      </c>
      <c r="X63" s="31">
        <f>Data_Shelter_t[[#This Row],['# of Permanent House Planned (Target)]]+Data_Shelter_t[[#This Row],['# of Individual Shelter Planned (Target)]]</f>
        <v>0</v>
      </c>
      <c r="Y63" s="662">
        <f>Data_Shelter_t[[#This Row],['# of Permanent House Built]]+Data_Shelter_t[[#This Row],['# of Individual Shelter Built]]</f>
        <v>0</v>
      </c>
    </row>
    <row r="64" spans="1:25" x14ac:dyDescent="0.25">
      <c r="A64" s="663">
        <v>41548</v>
      </c>
      <c r="B64" s="424" t="s">
        <v>581</v>
      </c>
      <c r="C64" s="424" t="s">
        <v>581</v>
      </c>
      <c r="D64" s="424" t="s">
        <v>7</v>
      </c>
      <c r="E64" s="426" t="s">
        <v>19</v>
      </c>
      <c r="F64" s="424" t="s">
        <v>651</v>
      </c>
      <c r="G64" s="31">
        <v>8</v>
      </c>
      <c r="H64" s="424"/>
      <c r="I64" s="424"/>
      <c r="J64" s="24">
        <v>14</v>
      </c>
      <c r="K64" s="31">
        <v>14</v>
      </c>
      <c r="L64" s="31"/>
      <c r="M64" s="31"/>
      <c r="N64" s="31"/>
      <c r="O64" s="424"/>
      <c r="P64" s="424"/>
      <c r="Q64" s="424"/>
      <c r="R64" s="133"/>
      <c r="S64" s="133">
        <v>112</v>
      </c>
      <c r="T64" s="133">
        <f ca="1">IF(Data_Shelter_t[[#This Row],[Status]]="Open",Data_Shelter_t[[#This Row],[HH Covered]],0)</f>
        <v>112</v>
      </c>
      <c r="U64" s="425" t="s">
        <v>653</v>
      </c>
      <c r="V64" s="699" t="str">
        <f ca="1">IFERROR(OFFSET(Camp_List[Status],MATCH(Data_Shelter_t[[#This Row],[Camp Name]],Camp_List[Camp Name],0)-1,0,1,1),"")</f>
        <v>Open</v>
      </c>
      <c r="W64" s="643">
        <f ca="1">IFERROR(Data_Shelter_t[[#This Row],[HH Covered]]/OFFSET(Camp_List[HH],MATCH(Data_Shelter_t[[#This Row],[Camp Name]],Camp_List[Camp Name],0)-1,0,1,1),"")</f>
        <v>8.6353122590593676E-2</v>
      </c>
      <c r="X64" s="24">
        <f>Data_Shelter_t[[#This Row],['# of Permanent House Planned (Target)]]+Data_Shelter_t[[#This Row],['# of Individual Shelter Planned (Target)]]</f>
        <v>0</v>
      </c>
      <c r="Y64" s="665">
        <f>Data_Shelter_t[[#This Row],['# of Permanent House Built]]+Data_Shelter_t[[#This Row],['# of Individual Shelter Built]]</f>
        <v>0</v>
      </c>
    </row>
    <row r="65" spans="1:25" x14ac:dyDescent="0.25">
      <c r="A65" s="663">
        <v>41548</v>
      </c>
      <c r="B65" s="425" t="s">
        <v>299</v>
      </c>
      <c r="C65" s="425" t="s">
        <v>299</v>
      </c>
      <c r="D65" s="425" t="s">
        <v>7</v>
      </c>
      <c r="E65" s="440" t="s">
        <v>19</v>
      </c>
      <c r="F65" s="425" t="s">
        <v>651</v>
      </c>
      <c r="G65" s="24">
        <v>10</v>
      </c>
      <c r="H65" s="425"/>
      <c r="I65" s="425"/>
      <c r="J65" s="24">
        <v>40</v>
      </c>
      <c r="K65" s="24">
        <v>40</v>
      </c>
      <c r="L65" s="24"/>
      <c r="M65" s="24"/>
      <c r="N65" s="24"/>
      <c r="O65" s="425"/>
      <c r="P65" s="425"/>
      <c r="Q65" s="425"/>
      <c r="R65" s="133"/>
      <c r="S65" s="133">
        <v>400</v>
      </c>
      <c r="T65" s="133">
        <f ca="1">IF(Data_Shelter_t[[#This Row],[Status]]="Open",Data_Shelter_t[[#This Row],[HH Covered]],0)</f>
        <v>400</v>
      </c>
      <c r="U65" s="425" t="s">
        <v>653</v>
      </c>
      <c r="V65" s="699" t="str">
        <f ca="1">IFERROR(OFFSET(Camp_List[Status],MATCH(Data_Shelter_t[[#This Row],[Camp Name]],Camp_List[Camp Name],0)-1,0,1,1),"")</f>
        <v>Open</v>
      </c>
      <c r="W65" s="643">
        <f ca="1">IFERROR(Data_Shelter_t[[#This Row],[HH Covered]]/OFFSET(Camp_List[HH],MATCH(Data_Shelter_t[[#This Row],[Camp Name]],Camp_List[Camp Name],0)-1,0,1,1),"")</f>
        <v>0.3084040092521203</v>
      </c>
      <c r="X65" s="24">
        <f>Data_Shelter_t[[#This Row],['# of Permanent House Planned (Target)]]+Data_Shelter_t[[#This Row],['# of Individual Shelter Planned (Target)]]</f>
        <v>0</v>
      </c>
      <c r="Y65" s="665">
        <f>Data_Shelter_t[[#This Row],['# of Permanent House Built]]+Data_Shelter_t[[#This Row],['# of Individual Shelter Built]]</f>
        <v>0</v>
      </c>
    </row>
    <row r="66" spans="1:25" x14ac:dyDescent="0.25">
      <c r="A66" s="663">
        <v>41548</v>
      </c>
      <c r="B66" s="424" t="s">
        <v>296</v>
      </c>
      <c r="C66" s="424" t="s">
        <v>296</v>
      </c>
      <c r="D66" s="424" t="s">
        <v>7</v>
      </c>
      <c r="E66" s="426" t="s">
        <v>16</v>
      </c>
      <c r="F66" s="424" t="s">
        <v>624</v>
      </c>
      <c r="G66" s="31">
        <v>8</v>
      </c>
      <c r="H66" s="424"/>
      <c r="I66" s="424"/>
      <c r="J66" s="31">
        <v>24</v>
      </c>
      <c r="K66" s="31">
        <v>24</v>
      </c>
      <c r="L66" s="31"/>
      <c r="M66" s="31"/>
      <c r="N66" s="31"/>
      <c r="O66" s="424"/>
      <c r="P66" s="424"/>
      <c r="Q66" s="424"/>
      <c r="R66" s="133"/>
      <c r="S66" s="133">
        <v>192</v>
      </c>
      <c r="T66" s="133">
        <f ca="1">IF(Data_Shelter_t[[#This Row],[Status]]="Open",Data_Shelter_t[[#This Row],[HH Covered]],0)</f>
        <v>192</v>
      </c>
      <c r="U66" s="425" t="s">
        <v>144</v>
      </c>
      <c r="V66" s="699" t="str">
        <f ca="1">IFERROR(OFFSET(Camp_List[Status],MATCH(Data_Shelter_t[[#This Row],[Camp Name]],Camp_List[Camp Name],0)-1,0,1,1),"")</f>
        <v>Open</v>
      </c>
      <c r="W66" s="643">
        <f ca="1">IFERROR(Data_Shelter_t[[#This Row],[HH Covered]]/OFFSET(Camp_List[HH],MATCH(Data_Shelter_t[[#This Row],[Camp Name]],Camp_List[Camp Name],0)-1,0,1,1),"")</f>
        <v>0.88479262672811065</v>
      </c>
      <c r="X66" s="31">
        <f>Data_Shelter_t[[#This Row],['# of Permanent House Planned (Target)]]+Data_Shelter_t[[#This Row],['# of Individual Shelter Planned (Target)]]</f>
        <v>0</v>
      </c>
      <c r="Y66" s="662">
        <f>Data_Shelter_t[[#This Row],['# of Permanent House Built]]+Data_Shelter_t[[#This Row],['# of Individual Shelter Built]]</f>
        <v>0</v>
      </c>
    </row>
    <row r="67" spans="1:25" x14ac:dyDescent="0.25">
      <c r="A67" s="663">
        <v>41548</v>
      </c>
      <c r="B67" s="424" t="s">
        <v>455</v>
      </c>
      <c r="C67" s="424" t="s">
        <v>455</v>
      </c>
      <c r="D67" s="424" t="s">
        <v>7</v>
      </c>
      <c r="E67" s="426" t="s">
        <v>19</v>
      </c>
      <c r="F67" s="424" t="s">
        <v>63</v>
      </c>
      <c r="G67" s="31">
        <v>8</v>
      </c>
      <c r="H67" s="424"/>
      <c r="I67" s="424"/>
      <c r="J67" s="31">
        <v>41</v>
      </c>
      <c r="K67" s="31">
        <v>41</v>
      </c>
      <c r="L67" s="31"/>
      <c r="M67" s="31"/>
      <c r="N67" s="31"/>
      <c r="O67" s="424"/>
      <c r="P67" s="424"/>
      <c r="Q67" s="424"/>
      <c r="R67" s="133"/>
      <c r="S67" s="133">
        <v>328</v>
      </c>
      <c r="T67" s="133">
        <f ca="1">IF(Data_Shelter_t[[#This Row],[Status]]="Open",Data_Shelter_t[[#This Row],[HH Covered]],0)</f>
        <v>328</v>
      </c>
      <c r="U67" s="425" t="s">
        <v>152</v>
      </c>
      <c r="V67" s="699" t="str">
        <f ca="1">IFERROR(OFFSET(Camp_List[Status],MATCH(Data_Shelter_t[[#This Row],[Camp Name]],Camp_List[Camp Name],0)-1,0,1,1),"")</f>
        <v>Open</v>
      </c>
      <c r="W67" s="643">
        <f ca="1">IFERROR(Data_Shelter_t[[#This Row],[HH Covered]]/OFFSET(Camp_List[HH],MATCH(Data_Shelter_t[[#This Row],[Camp Name]],Camp_List[Camp Name],0)-1,0,1,1),"")</f>
        <v>0.23478883321403007</v>
      </c>
      <c r="X67" s="31">
        <f>Data_Shelter_t[[#This Row],['# of Permanent House Planned (Target)]]+Data_Shelter_t[[#This Row],['# of Individual Shelter Planned (Target)]]</f>
        <v>0</v>
      </c>
      <c r="Y67" s="662">
        <f>Data_Shelter_t[[#This Row],['# of Permanent House Built]]+Data_Shelter_t[[#This Row],['# of Individual Shelter Built]]</f>
        <v>0</v>
      </c>
    </row>
    <row r="68" spans="1:25" x14ac:dyDescent="0.25">
      <c r="A68" s="663">
        <v>41548</v>
      </c>
      <c r="B68" s="424" t="s">
        <v>296</v>
      </c>
      <c r="C68" s="424" t="s">
        <v>296</v>
      </c>
      <c r="D68" s="424" t="s">
        <v>7</v>
      </c>
      <c r="E68" s="426" t="s">
        <v>19</v>
      </c>
      <c r="F68" s="424" t="s">
        <v>63</v>
      </c>
      <c r="G68" s="31">
        <v>8</v>
      </c>
      <c r="H68" s="424"/>
      <c r="I68" s="424"/>
      <c r="J68" s="31">
        <v>141</v>
      </c>
      <c r="K68" s="31">
        <v>141</v>
      </c>
      <c r="L68" s="31"/>
      <c r="M68" s="31"/>
      <c r="N68" s="31"/>
      <c r="O68" s="424"/>
      <c r="P68" s="424"/>
      <c r="Q68" s="424"/>
      <c r="R68" s="133"/>
      <c r="S68" s="133">
        <v>1128</v>
      </c>
      <c r="T68" s="133">
        <f ca="1">IF(Data_Shelter_t[[#This Row],[Status]]="Open",Data_Shelter_t[[#This Row],[HH Covered]],0)</f>
        <v>1128</v>
      </c>
      <c r="U68" s="425" t="s">
        <v>152</v>
      </c>
      <c r="V68" s="699" t="str">
        <f ca="1">IFERROR(OFFSET(Camp_List[Status],MATCH(Data_Shelter_t[[#This Row],[Camp Name]],Camp_List[Camp Name],0)-1,0,1,1),"")</f>
        <v>Open</v>
      </c>
      <c r="W68" s="643">
        <f ca="1">IFERROR(Data_Shelter_t[[#This Row],[HH Covered]]/OFFSET(Camp_List[HH],MATCH(Data_Shelter_t[[#This Row],[Camp Name]],Camp_List[Camp Name],0)-1,0,1,1),"")</f>
        <v>0.80744452397995703</v>
      </c>
      <c r="X68" s="31">
        <f>Data_Shelter_t[[#This Row],['# of Permanent House Planned (Target)]]+Data_Shelter_t[[#This Row],['# of Individual Shelter Planned (Target)]]</f>
        <v>0</v>
      </c>
      <c r="Y68" s="662">
        <f>Data_Shelter_t[[#This Row],['# of Permanent House Built]]+Data_Shelter_t[[#This Row],['# of Individual Shelter Built]]</f>
        <v>0</v>
      </c>
    </row>
    <row r="69" spans="1:25" x14ac:dyDescent="0.25">
      <c r="A69" s="663">
        <v>41548</v>
      </c>
      <c r="B69" s="424" t="s">
        <v>296</v>
      </c>
      <c r="C69" s="424" t="s">
        <v>296</v>
      </c>
      <c r="D69" s="424" t="s">
        <v>7</v>
      </c>
      <c r="E69" s="426" t="s">
        <v>15</v>
      </c>
      <c r="F69" s="424" t="s">
        <v>51</v>
      </c>
      <c r="G69" s="31">
        <v>8</v>
      </c>
      <c r="H69" s="424"/>
      <c r="I69" s="424"/>
      <c r="J69" s="31">
        <v>10</v>
      </c>
      <c r="K69" s="31">
        <v>10</v>
      </c>
      <c r="L69" s="31"/>
      <c r="M69" s="31"/>
      <c r="N69" s="31"/>
      <c r="O69" s="424"/>
      <c r="P69" s="424"/>
      <c r="Q69" s="424"/>
      <c r="R69" s="133"/>
      <c r="S69" s="133">
        <v>80</v>
      </c>
      <c r="T69" s="133">
        <f ca="1">IF(Data_Shelter_t[[#This Row],[Status]]="Open",Data_Shelter_t[[#This Row],[HH Covered]],0)</f>
        <v>80</v>
      </c>
      <c r="U69" s="425" t="s">
        <v>138</v>
      </c>
      <c r="V69" s="699" t="str">
        <f ca="1">IFERROR(OFFSET(Camp_List[Status],MATCH(Data_Shelter_t[[#This Row],[Camp Name]],Camp_List[Camp Name],0)-1,0,1,1),"")</f>
        <v>Open</v>
      </c>
      <c r="W69" s="643">
        <f ca="1">IFERROR(Data_Shelter_t[[#This Row],[HH Covered]]/OFFSET(Camp_List[HH],MATCH(Data_Shelter_t[[#This Row],[Camp Name]],Camp_List[Camp Name],0)-1,0,1,1),"")</f>
        <v>0.68965517241379315</v>
      </c>
      <c r="X69" s="31">
        <f>Data_Shelter_t[[#This Row],['# of Permanent House Planned (Target)]]+Data_Shelter_t[[#This Row],['# of Individual Shelter Planned (Target)]]</f>
        <v>0</v>
      </c>
      <c r="Y69" s="662">
        <f>Data_Shelter_t[[#This Row],['# of Permanent House Built]]+Data_Shelter_t[[#This Row],['# of Individual Shelter Built]]</f>
        <v>0</v>
      </c>
    </row>
    <row r="70" spans="1:25" x14ac:dyDescent="0.25">
      <c r="A70" s="663">
        <v>41548</v>
      </c>
      <c r="B70" s="424" t="s">
        <v>296</v>
      </c>
      <c r="C70" s="424" t="s">
        <v>296</v>
      </c>
      <c r="D70" s="424" t="s">
        <v>7</v>
      </c>
      <c r="E70" s="426" t="s">
        <v>15</v>
      </c>
      <c r="F70" s="424" t="s">
        <v>50</v>
      </c>
      <c r="G70" s="31">
        <v>8</v>
      </c>
      <c r="H70" s="424"/>
      <c r="I70" s="424"/>
      <c r="J70" s="31">
        <v>29</v>
      </c>
      <c r="K70" s="31">
        <v>29</v>
      </c>
      <c r="L70" s="31"/>
      <c r="M70" s="31"/>
      <c r="N70" s="31"/>
      <c r="O70" s="424"/>
      <c r="P70" s="424"/>
      <c r="Q70" s="424"/>
      <c r="R70" s="133"/>
      <c r="S70" s="133">
        <v>232</v>
      </c>
      <c r="T70" s="133">
        <f ca="1">IF(Data_Shelter_t[[#This Row],[Status]]="Open",Data_Shelter_t[[#This Row],[HH Covered]],0)</f>
        <v>232</v>
      </c>
      <c r="U70" s="425" t="s">
        <v>137</v>
      </c>
      <c r="V70" s="699" t="str">
        <f ca="1">IFERROR(OFFSET(Camp_List[Status],MATCH(Data_Shelter_t[[#This Row],[Camp Name]],Camp_List[Camp Name],0)-1,0,1,1),"")</f>
        <v>Open</v>
      </c>
      <c r="W70" s="643">
        <f ca="1">IFERROR(Data_Shelter_t[[#This Row],[HH Covered]]/OFFSET(Camp_List[HH],MATCH(Data_Shelter_t[[#This Row],[Camp Name]],Camp_List[Camp Name],0)-1,0,1,1),"")</f>
        <v>0.98305084745762716</v>
      </c>
      <c r="X70" s="31">
        <f>Data_Shelter_t[[#This Row],['# of Permanent House Planned (Target)]]+Data_Shelter_t[[#This Row],['# of Individual Shelter Planned (Target)]]</f>
        <v>0</v>
      </c>
      <c r="Y70" s="662">
        <f>Data_Shelter_t[[#This Row],['# of Permanent House Built]]+Data_Shelter_t[[#This Row],['# of Individual Shelter Built]]</f>
        <v>0</v>
      </c>
    </row>
    <row r="71" spans="1:25" x14ac:dyDescent="0.25">
      <c r="A71" s="663">
        <v>41548</v>
      </c>
      <c r="B71" s="424" t="s">
        <v>288</v>
      </c>
      <c r="C71" s="424" t="s">
        <v>288</v>
      </c>
      <c r="D71" s="424" t="s">
        <v>7</v>
      </c>
      <c r="E71" s="426" t="s">
        <v>915</v>
      </c>
      <c r="F71" s="424" t="s">
        <v>37</v>
      </c>
      <c r="G71" s="31">
        <v>8</v>
      </c>
      <c r="H71" s="424"/>
      <c r="I71" s="424"/>
      <c r="J71" s="31">
        <v>6</v>
      </c>
      <c r="K71" s="31">
        <v>6</v>
      </c>
      <c r="L71" s="31"/>
      <c r="M71" s="31"/>
      <c r="N71" s="31"/>
      <c r="O71" s="424"/>
      <c r="P71" s="424"/>
      <c r="Q71" s="424"/>
      <c r="R71" s="133"/>
      <c r="S71" s="133">
        <v>48</v>
      </c>
      <c r="T71" s="133">
        <f ca="1">IF(Data_Shelter_t[[#This Row],[Status]]="Open",Data_Shelter_t[[#This Row],[HH Covered]],0)</f>
        <v>48</v>
      </c>
      <c r="U71" s="425" t="s">
        <v>124</v>
      </c>
      <c r="V71" s="699" t="str">
        <f ca="1">IFERROR(OFFSET(Camp_List[Status],MATCH(Data_Shelter_t[[#This Row],[Camp Name]],Camp_List[Camp Name],0)-1,0,1,1),"")</f>
        <v>Open</v>
      </c>
      <c r="W71" s="643">
        <f ca="1">IFERROR(Data_Shelter_t[[#This Row],[HH Covered]]/OFFSET(Camp_List[HH],MATCH(Data_Shelter_t[[#This Row],[Camp Name]],Camp_List[Camp Name],0)-1,0,1,1),"")</f>
        <v>1.1428571428571428</v>
      </c>
      <c r="X71" s="24">
        <f>Data_Shelter_t[[#This Row],['# of Permanent House Planned (Target)]]+Data_Shelter_t[[#This Row],['# of Individual Shelter Planned (Target)]]</f>
        <v>0</v>
      </c>
      <c r="Y71" s="665">
        <f>Data_Shelter_t[[#This Row],['# of Permanent House Built]]+Data_Shelter_t[[#This Row],['# of Individual Shelter Built]]</f>
        <v>0</v>
      </c>
    </row>
    <row r="72" spans="1:25" x14ac:dyDescent="0.25">
      <c r="A72" s="663">
        <v>41548</v>
      </c>
      <c r="B72" s="424" t="s">
        <v>664</v>
      </c>
      <c r="C72" s="424" t="s">
        <v>664</v>
      </c>
      <c r="D72" s="424" t="s">
        <v>7</v>
      </c>
      <c r="E72" s="426" t="s">
        <v>20</v>
      </c>
      <c r="F72" s="424" t="s">
        <v>101</v>
      </c>
      <c r="G72" s="31">
        <v>1</v>
      </c>
      <c r="H72" s="424"/>
      <c r="I72" s="424"/>
      <c r="J72" s="31"/>
      <c r="K72" s="31"/>
      <c r="L72" s="31"/>
      <c r="M72" s="31">
        <v>10</v>
      </c>
      <c r="N72" s="31">
        <v>10</v>
      </c>
      <c r="O72" s="424"/>
      <c r="P72" s="424"/>
      <c r="Q72" s="424"/>
      <c r="R72" s="133"/>
      <c r="S72" s="133">
        <v>10</v>
      </c>
      <c r="T72" s="133">
        <f ca="1">IF(Data_Shelter_t[[#This Row],[Status]]="Open",Data_Shelter_t[[#This Row],[HH Covered]],0)</f>
        <v>0</v>
      </c>
      <c r="U72" s="425" t="s">
        <v>190</v>
      </c>
      <c r="V72" s="699" t="str">
        <f ca="1">IFERROR(OFFSET(Camp_List[Status],MATCH(Data_Shelter_t[[#This Row],[Camp Name]],Camp_List[Camp Name],0)-1,0,1,1),"")</f>
        <v>Close</v>
      </c>
      <c r="W72" s="643" t="str">
        <f ca="1">IFERROR(Data_Shelter_t[[#This Row],[HH Covered]]/OFFSET(Camp_List[HH],MATCH(Data_Shelter_t[[#This Row],[Camp Name]],Camp_List[Camp Name],0)-1,0,1,1),"")</f>
        <v/>
      </c>
      <c r="X72" s="31">
        <f>Data_Shelter_t[[#This Row],['# of Permanent House Planned (Target)]]+Data_Shelter_t[[#This Row],['# of Individual Shelter Planned (Target)]]</f>
        <v>10</v>
      </c>
      <c r="Y72" s="662">
        <f>Data_Shelter_t[[#This Row],['# of Permanent House Built]]+Data_Shelter_t[[#This Row],['# of Individual Shelter Built]]</f>
        <v>10</v>
      </c>
    </row>
    <row r="73" spans="1:25" x14ac:dyDescent="0.25">
      <c r="A73" s="663">
        <v>41548</v>
      </c>
      <c r="B73" s="424" t="s">
        <v>663</v>
      </c>
      <c r="C73" s="424" t="s">
        <v>663</v>
      </c>
      <c r="D73" s="424" t="s">
        <v>7</v>
      </c>
      <c r="E73" s="426" t="s">
        <v>20</v>
      </c>
      <c r="F73" s="424" t="s">
        <v>101</v>
      </c>
      <c r="G73" s="31">
        <v>1</v>
      </c>
      <c r="H73" s="424"/>
      <c r="I73" s="424"/>
      <c r="J73" s="31"/>
      <c r="K73" s="31"/>
      <c r="L73" s="31"/>
      <c r="M73" s="31">
        <v>31</v>
      </c>
      <c r="N73" s="31">
        <v>27</v>
      </c>
      <c r="O73" s="424"/>
      <c r="P73" s="424"/>
      <c r="Q73" s="424"/>
      <c r="R73" s="133"/>
      <c r="S73" s="133">
        <v>27</v>
      </c>
      <c r="T73" s="133">
        <f ca="1">IF(Data_Shelter_t[[#This Row],[Status]]="Open",Data_Shelter_t[[#This Row],[HH Covered]],0)</f>
        <v>0</v>
      </c>
      <c r="U73" s="425" t="s">
        <v>190</v>
      </c>
      <c r="V73" s="699" t="str">
        <f ca="1">IFERROR(OFFSET(Camp_List[Status],MATCH(Data_Shelter_t[[#This Row],[Camp Name]],Camp_List[Camp Name],0)-1,0,1,1),"")</f>
        <v>Close</v>
      </c>
      <c r="W73" s="643" t="str">
        <f ca="1">IFERROR(Data_Shelter_t[[#This Row],[HH Covered]]/OFFSET(Camp_List[HH],MATCH(Data_Shelter_t[[#This Row],[Camp Name]],Camp_List[Camp Name],0)-1,0,1,1),"")</f>
        <v/>
      </c>
      <c r="X73" s="31">
        <f>Data_Shelter_t[[#This Row],['# of Permanent House Planned (Target)]]+Data_Shelter_t[[#This Row],['# of Individual Shelter Planned (Target)]]</f>
        <v>31</v>
      </c>
      <c r="Y73" s="662">
        <f>Data_Shelter_t[[#This Row],['# of Permanent House Built]]+Data_Shelter_t[[#This Row],['# of Individual Shelter Built]]</f>
        <v>27</v>
      </c>
    </row>
    <row r="74" spans="1:25" x14ac:dyDescent="0.25">
      <c r="A74" s="663">
        <v>41548</v>
      </c>
      <c r="B74" s="424" t="s">
        <v>455</v>
      </c>
      <c r="C74" s="424" t="s">
        <v>455</v>
      </c>
      <c r="D74" s="424" t="s">
        <v>7</v>
      </c>
      <c r="E74" s="426" t="s">
        <v>19</v>
      </c>
      <c r="F74" s="424" t="s">
        <v>64</v>
      </c>
      <c r="G74" s="31">
        <v>8</v>
      </c>
      <c r="H74" s="424"/>
      <c r="I74" s="424"/>
      <c r="J74" s="31">
        <v>25</v>
      </c>
      <c r="K74" s="31">
        <v>25</v>
      </c>
      <c r="L74" s="31"/>
      <c r="M74" s="31"/>
      <c r="N74" s="31"/>
      <c r="O74" s="424"/>
      <c r="P74" s="424"/>
      <c r="Q74" s="424"/>
      <c r="R74" s="133"/>
      <c r="S74" s="133">
        <v>200</v>
      </c>
      <c r="T74" s="133">
        <f ca="1">IF(Data_Shelter_t[[#This Row],[Status]]="Open",Data_Shelter_t[[#This Row],[HH Covered]],0)</f>
        <v>200</v>
      </c>
      <c r="U74" s="425" t="s">
        <v>153</v>
      </c>
      <c r="V74" s="699" t="str">
        <f ca="1">IFERROR(OFFSET(Camp_List[Status],MATCH(Data_Shelter_t[[#This Row],[Camp Name]],Camp_List[Camp Name],0)-1,0,1,1),"")</f>
        <v>Open</v>
      </c>
      <c r="W74" s="643">
        <f ca="1">IFERROR(Data_Shelter_t[[#This Row],[HH Covered]]/OFFSET(Camp_List[HH],MATCH(Data_Shelter_t[[#This Row],[Camp Name]],Camp_List[Camp Name],0)-1,0,1,1),"")</f>
        <v>0.25031289111389238</v>
      </c>
      <c r="X74" s="31">
        <f>Data_Shelter_t[[#This Row],['# of Permanent House Planned (Target)]]+Data_Shelter_t[[#This Row],['# of Individual Shelter Planned (Target)]]</f>
        <v>0</v>
      </c>
      <c r="Y74" s="662">
        <f>Data_Shelter_t[[#This Row],['# of Permanent House Built]]+Data_Shelter_t[[#This Row],['# of Individual Shelter Built]]</f>
        <v>0</v>
      </c>
    </row>
    <row r="75" spans="1:25" x14ac:dyDescent="0.25">
      <c r="A75" s="663">
        <v>41548</v>
      </c>
      <c r="B75" s="424" t="s">
        <v>296</v>
      </c>
      <c r="C75" s="424" t="s">
        <v>296</v>
      </c>
      <c r="D75" s="424" t="s">
        <v>7</v>
      </c>
      <c r="E75" s="426" t="s">
        <v>19</v>
      </c>
      <c r="F75" s="424" t="s">
        <v>64</v>
      </c>
      <c r="G75" s="31">
        <v>8</v>
      </c>
      <c r="H75" s="424"/>
      <c r="I75" s="424"/>
      <c r="J75" s="31">
        <v>75</v>
      </c>
      <c r="K75" s="31">
        <v>75</v>
      </c>
      <c r="L75" s="31"/>
      <c r="M75" s="31"/>
      <c r="N75" s="31"/>
      <c r="O75" s="424"/>
      <c r="P75" s="424"/>
      <c r="Q75" s="424"/>
      <c r="R75" s="133"/>
      <c r="S75" s="133">
        <v>600</v>
      </c>
      <c r="T75" s="133">
        <f ca="1">IF(Data_Shelter_t[[#This Row],[Status]]="Open",Data_Shelter_t[[#This Row],[HH Covered]],0)</f>
        <v>600</v>
      </c>
      <c r="U75" s="425" t="s">
        <v>153</v>
      </c>
      <c r="V75" s="699" t="str">
        <f ca="1">IFERROR(OFFSET(Camp_List[Status],MATCH(Data_Shelter_t[[#This Row],[Camp Name]],Camp_List[Camp Name],0)-1,0,1,1),"")</f>
        <v>Open</v>
      </c>
      <c r="W75" s="643">
        <f ca="1">IFERROR(Data_Shelter_t[[#This Row],[HH Covered]]/OFFSET(Camp_List[HH],MATCH(Data_Shelter_t[[#This Row],[Camp Name]],Camp_List[Camp Name],0)-1,0,1,1),"")</f>
        <v>0.75093867334167708</v>
      </c>
      <c r="X75" s="31">
        <f>Data_Shelter_t[[#This Row],['# of Permanent House Planned (Target)]]+Data_Shelter_t[[#This Row],['# of Individual Shelter Planned (Target)]]</f>
        <v>0</v>
      </c>
      <c r="Y75" s="662">
        <f>Data_Shelter_t[[#This Row],['# of Permanent House Built]]+Data_Shelter_t[[#This Row],['# of Individual Shelter Built]]</f>
        <v>0</v>
      </c>
    </row>
    <row r="76" spans="1:25" x14ac:dyDescent="0.25">
      <c r="A76" s="663">
        <v>41548</v>
      </c>
      <c r="B76" s="424" t="s">
        <v>296</v>
      </c>
      <c r="C76" s="424" t="s">
        <v>296</v>
      </c>
      <c r="D76" s="424" t="s">
        <v>7</v>
      </c>
      <c r="E76" s="426" t="s">
        <v>15</v>
      </c>
      <c r="F76" s="424" t="s">
        <v>54</v>
      </c>
      <c r="G76" s="31">
        <v>8</v>
      </c>
      <c r="H76" s="424"/>
      <c r="I76" s="424"/>
      <c r="J76" s="31">
        <v>10</v>
      </c>
      <c r="K76" s="31">
        <v>10</v>
      </c>
      <c r="L76" s="31"/>
      <c r="M76" s="31"/>
      <c r="N76" s="31"/>
      <c r="O76" s="424"/>
      <c r="P76" s="424"/>
      <c r="Q76" s="424"/>
      <c r="R76" s="133"/>
      <c r="S76" s="133">
        <v>80</v>
      </c>
      <c r="T76" s="133">
        <f ca="1">IF(Data_Shelter_t[[#This Row],[Status]]="Open",Data_Shelter_t[[#This Row],[HH Covered]],0)</f>
        <v>80</v>
      </c>
      <c r="U76" s="425" t="s">
        <v>141</v>
      </c>
      <c r="V76" s="699" t="str">
        <f ca="1">IFERROR(OFFSET(Camp_List[Status],MATCH(Data_Shelter_t[[#This Row],[Camp Name]],Camp_List[Camp Name],0)-1,0,1,1),"")</f>
        <v>Open</v>
      </c>
      <c r="W76" s="643">
        <f ca="1">IFERROR(Data_Shelter_t[[#This Row],[HH Covered]]/OFFSET(Camp_List[HH],MATCH(Data_Shelter_t[[#This Row],[Camp Name]],Camp_List[Camp Name],0)-1,0,1,1),"")</f>
        <v>0.82474226804123707</v>
      </c>
      <c r="X76" s="31">
        <f>Data_Shelter_t[[#This Row],['# of Permanent House Planned (Target)]]+Data_Shelter_t[[#This Row],['# of Individual Shelter Planned (Target)]]</f>
        <v>0</v>
      </c>
      <c r="Y76" s="662">
        <f>Data_Shelter_t[[#This Row],['# of Permanent House Built]]+Data_Shelter_t[[#This Row],['# of Individual Shelter Built]]</f>
        <v>0</v>
      </c>
    </row>
    <row r="77" spans="1:25" x14ac:dyDescent="0.25">
      <c r="A77" s="663">
        <v>41548</v>
      </c>
      <c r="B77" s="424" t="s">
        <v>664</v>
      </c>
      <c r="C77" s="424" t="s">
        <v>664</v>
      </c>
      <c r="D77" s="424" t="s">
        <v>7</v>
      </c>
      <c r="E77" s="426" t="s">
        <v>20</v>
      </c>
      <c r="F77" s="424" t="s">
        <v>519</v>
      </c>
      <c r="G77" s="31">
        <v>1</v>
      </c>
      <c r="H77" s="424"/>
      <c r="I77" s="424"/>
      <c r="J77" s="31"/>
      <c r="K77" s="31"/>
      <c r="L77" s="31"/>
      <c r="M77" s="31">
        <v>15</v>
      </c>
      <c r="N77" s="31">
        <v>15</v>
      </c>
      <c r="O77" s="424"/>
      <c r="P77" s="424"/>
      <c r="Q77" s="424"/>
      <c r="R77" s="133"/>
      <c r="S77" s="133">
        <v>15</v>
      </c>
      <c r="T77" s="133">
        <f ca="1">IF(Data_Shelter_t[[#This Row],[Status]]="Open",Data_Shelter_t[[#This Row],[HH Covered]],0)</f>
        <v>0</v>
      </c>
      <c r="U77" s="425" t="s">
        <v>977</v>
      </c>
      <c r="V77" s="699" t="str">
        <f ca="1">IFERROR(OFFSET(Camp_List[Status],MATCH(Data_Shelter_t[[#This Row],[Camp Name]],Camp_List[Camp Name],0)-1,0,1,1),"")</f>
        <v/>
      </c>
      <c r="W77" s="643" t="str">
        <f ca="1">IFERROR(Data_Shelter_t[[#This Row],[HH Covered]]/OFFSET(Camp_List[HH],MATCH(Data_Shelter_t[[#This Row],[Camp Name]],Camp_List[Camp Name],0)-1,0,1,1),"")</f>
        <v/>
      </c>
      <c r="X77" s="31">
        <f>Data_Shelter_t[[#This Row],['# of Permanent House Planned (Target)]]+Data_Shelter_t[[#This Row],['# of Individual Shelter Planned (Target)]]</f>
        <v>15</v>
      </c>
      <c r="Y77" s="662">
        <f>Data_Shelter_t[[#This Row],['# of Permanent House Built]]+Data_Shelter_t[[#This Row],['# of Individual Shelter Built]]</f>
        <v>15</v>
      </c>
    </row>
    <row r="78" spans="1:25" x14ac:dyDescent="0.25">
      <c r="A78" s="663">
        <v>41548</v>
      </c>
      <c r="B78" s="424" t="s">
        <v>296</v>
      </c>
      <c r="C78" s="424" t="s">
        <v>296</v>
      </c>
      <c r="D78" s="424" t="s">
        <v>7</v>
      </c>
      <c r="E78" s="426" t="s">
        <v>16</v>
      </c>
      <c r="F78" s="424" t="s">
        <v>410</v>
      </c>
      <c r="G78" s="31">
        <v>8</v>
      </c>
      <c r="H78" s="424"/>
      <c r="I78" s="424"/>
      <c r="J78" s="31">
        <v>29</v>
      </c>
      <c r="K78" s="31">
        <v>29</v>
      </c>
      <c r="L78" s="31"/>
      <c r="M78" s="31"/>
      <c r="N78" s="31"/>
      <c r="O78" s="424"/>
      <c r="P78" s="424"/>
      <c r="Q78" s="424"/>
      <c r="R78" s="133"/>
      <c r="S78" s="133">
        <v>232</v>
      </c>
      <c r="T78" s="133">
        <f ca="1">IF(Data_Shelter_t[[#This Row],[Status]]="Open",Data_Shelter_t[[#This Row],[HH Covered]],0)</f>
        <v>232</v>
      </c>
      <c r="U78" s="425" t="s">
        <v>625</v>
      </c>
      <c r="V78" s="699" t="str">
        <f ca="1">IFERROR(OFFSET(Camp_List[Status],MATCH(Data_Shelter_t[[#This Row],[Camp Name]],Camp_List[Camp Name],0)-1,0,1,1),"")</f>
        <v>Open</v>
      </c>
      <c r="W78" s="643">
        <f ca="1">IFERROR(Data_Shelter_t[[#This Row],[HH Covered]]/OFFSET(Camp_List[HH],MATCH(Data_Shelter_t[[#This Row],[Camp Name]],Camp_List[Camp Name],0)-1,0,1,1),"")</f>
        <v>1.2020725388601037</v>
      </c>
      <c r="X78" s="31">
        <f>Data_Shelter_t[[#This Row],['# of Permanent House Planned (Target)]]+Data_Shelter_t[[#This Row],['# of Individual Shelter Planned (Target)]]</f>
        <v>0</v>
      </c>
      <c r="Y78" s="662">
        <f>Data_Shelter_t[[#This Row],['# of Permanent House Built]]+Data_Shelter_t[[#This Row],['# of Individual Shelter Built]]</f>
        <v>0</v>
      </c>
    </row>
    <row r="79" spans="1:25" x14ac:dyDescent="0.25">
      <c r="A79" s="663">
        <v>41548</v>
      </c>
      <c r="B79" s="424" t="s">
        <v>664</v>
      </c>
      <c r="C79" s="424" t="s">
        <v>664</v>
      </c>
      <c r="D79" s="424" t="s">
        <v>7</v>
      </c>
      <c r="E79" s="426" t="s">
        <v>20</v>
      </c>
      <c r="F79" s="424" t="s">
        <v>103</v>
      </c>
      <c r="G79" s="31">
        <v>1</v>
      </c>
      <c r="H79" s="424"/>
      <c r="I79" s="424"/>
      <c r="J79" s="31"/>
      <c r="K79" s="31"/>
      <c r="L79" s="31"/>
      <c r="M79" s="31">
        <v>10</v>
      </c>
      <c r="N79" s="31">
        <v>10</v>
      </c>
      <c r="O79" s="424"/>
      <c r="P79" s="424"/>
      <c r="Q79" s="424"/>
      <c r="R79" s="133"/>
      <c r="S79" s="133">
        <v>10</v>
      </c>
      <c r="T79" s="133">
        <f ca="1">IF(Data_Shelter_t[[#This Row],[Status]]="Open",Data_Shelter_t[[#This Row],[HH Covered]],0)</f>
        <v>0</v>
      </c>
      <c r="U79" s="425" t="s">
        <v>192</v>
      </c>
      <c r="V79" s="699" t="str">
        <f ca="1">IFERROR(OFFSET(Camp_List[Status],MATCH(Data_Shelter_t[[#This Row],[Camp Name]],Camp_List[Camp Name],0)-1,0,1,1),"")</f>
        <v>Close</v>
      </c>
      <c r="W79" s="643" t="str">
        <f ca="1">IFERROR(Data_Shelter_t[[#This Row],[HH Covered]]/OFFSET(Camp_List[HH],MATCH(Data_Shelter_t[[#This Row],[Camp Name]],Camp_List[Camp Name],0)-1,0,1,1),"")</f>
        <v/>
      </c>
      <c r="X79" s="31">
        <f>Data_Shelter_t[[#This Row],['# of Permanent House Planned (Target)]]+Data_Shelter_t[[#This Row],['# of Individual Shelter Planned (Target)]]</f>
        <v>10</v>
      </c>
      <c r="Y79" s="662">
        <f>Data_Shelter_t[[#This Row],['# of Permanent House Built]]+Data_Shelter_t[[#This Row],['# of Individual Shelter Built]]</f>
        <v>10</v>
      </c>
    </row>
    <row r="80" spans="1:25" x14ac:dyDescent="0.25">
      <c r="A80" s="663">
        <v>41548</v>
      </c>
      <c r="B80" s="424" t="s">
        <v>663</v>
      </c>
      <c r="C80" s="424" t="s">
        <v>663</v>
      </c>
      <c r="D80" s="424" t="s">
        <v>7</v>
      </c>
      <c r="E80" s="426" t="s">
        <v>20</v>
      </c>
      <c r="F80" s="424" t="s">
        <v>103</v>
      </c>
      <c r="G80" s="31">
        <v>1</v>
      </c>
      <c r="H80" s="424"/>
      <c r="I80" s="424"/>
      <c r="J80" s="31"/>
      <c r="K80" s="31"/>
      <c r="L80" s="31"/>
      <c r="M80" s="31">
        <v>21</v>
      </c>
      <c r="N80" s="31">
        <v>21</v>
      </c>
      <c r="O80" s="424"/>
      <c r="P80" s="424"/>
      <c r="Q80" s="424"/>
      <c r="R80" s="133"/>
      <c r="S80" s="133">
        <v>21</v>
      </c>
      <c r="T80" s="133">
        <f ca="1">IF(Data_Shelter_t[[#This Row],[Status]]="Open",Data_Shelter_t[[#This Row],[HH Covered]],0)</f>
        <v>0</v>
      </c>
      <c r="U80" s="425" t="s">
        <v>192</v>
      </c>
      <c r="V80" s="699" t="str">
        <f ca="1">IFERROR(OFFSET(Camp_List[Status],MATCH(Data_Shelter_t[[#This Row],[Camp Name]],Camp_List[Camp Name],0)-1,0,1,1),"")</f>
        <v>Close</v>
      </c>
      <c r="W80" s="643" t="str">
        <f ca="1">IFERROR(Data_Shelter_t[[#This Row],[HH Covered]]/OFFSET(Camp_List[HH],MATCH(Data_Shelter_t[[#This Row],[Camp Name]],Camp_List[Camp Name],0)-1,0,1,1),"")</f>
        <v/>
      </c>
      <c r="X80" s="31">
        <f>Data_Shelter_t[[#This Row],['# of Permanent House Planned (Target)]]+Data_Shelter_t[[#This Row],['# of Individual Shelter Planned (Target)]]</f>
        <v>21</v>
      </c>
      <c r="Y80" s="665">
        <f>Data_Shelter_t[[#This Row],['# of Permanent House Built]]+Data_Shelter_t[[#This Row],['# of Individual Shelter Built]]</f>
        <v>21</v>
      </c>
    </row>
    <row r="81" spans="1:25" x14ac:dyDescent="0.25">
      <c r="A81" s="663">
        <v>41548</v>
      </c>
      <c r="B81" s="424" t="s">
        <v>296</v>
      </c>
      <c r="C81" s="424" t="s">
        <v>296</v>
      </c>
      <c r="D81" s="424" t="s">
        <v>7</v>
      </c>
      <c r="E81" s="426" t="s">
        <v>17</v>
      </c>
      <c r="F81" s="424" t="s">
        <v>58</v>
      </c>
      <c r="G81" s="31">
        <v>8</v>
      </c>
      <c r="H81" s="424"/>
      <c r="I81" s="424"/>
      <c r="J81" s="31">
        <v>22</v>
      </c>
      <c r="K81" s="31">
        <v>22</v>
      </c>
      <c r="L81" s="31"/>
      <c r="M81" s="31"/>
      <c r="N81" s="31"/>
      <c r="O81" s="424"/>
      <c r="P81" s="424"/>
      <c r="Q81" s="424"/>
      <c r="R81" s="133"/>
      <c r="S81" s="133">
        <v>176</v>
      </c>
      <c r="T81" s="133">
        <f ca="1">IF(Data_Shelter_t[[#This Row],[Status]]="Open",Data_Shelter_t[[#This Row],[HH Covered]],0)</f>
        <v>176</v>
      </c>
      <c r="U81" s="425" t="s">
        <v>146</v>
      </c>
      <c r="V81" s="699" t="str">
        <f ca="1">IFERROR(OFFSET(Camp_List[Status],MATCH(Data_Shelter_t[[#This Row],[Camp Name]],Camp_List[Camp Name],0)-1,0,1,1),"")</f>
        <v>Open</v>
      </c>
      <c r="W81" s="643">
        <f ca="1">IFERROR(Data_Shelter_t[[#This Row],[HH Covered]]/OFFSET(Camp_List[HH],MATCH(Data_Shelter_t[[#This Row],[Camp Name]],Camp_List[Camp Name],0)-1,0,1,1),"")</f>
        <v>0.41217798594847777</v>
      </c>
      <c r="X81" s="31">
        <f>Data_Shelter_t[[#This Row],['# of Permanent House Planned (Target)]]+Data_Shelter_t[[#This Row],['# of Individual Shelter Planned (Target)]]</f>
        <v>0</v>
      </c>
      <c r="Y81" s="662">
        <f>Data_Shelter_t[[#This Row],['# of Permanent House Built]]+Data_Shelter_t[[#This Row],['# of Individual Shelter Built]]</f>
        <v>0</v>
      </c>
    </row>
    <row r="82" spans="1:25" x14ac:dyDescent="0.25">
      <c r="A82" s="663">
        <v>41548</v>
      </c>
      <c r="B82" s="424" t="s">
        <v>301</v>
      </c>
      <c r="C82" s="424" t="s">
        <v>301</v>
      </c>
      <c r="D82" s="424" t="s">
        <v>7</v>
      </c>
      <c r="E82" s="426" t="s">
        <v>17</v>
      </c>
      <c r="F82" s="424" t="s">
        <v>58</v>
      </c>
      <c r="G82" s="31">
        <v>8</v>
      </c>
      <c r="H82" s="424"/>
      <c r="I82" s="424"/>
      <c r="J82" s="31">
        <v>31</v>
      </c>
      <c r="K82" s="31">
        <v>31</v>
      </c>
      <c r="L82" s="31"/>
      <c r="M82" s="31"/>
      <c r="N82" s="31"/>
      <c r="O82" s="424"/>
      <c r="P82" s="424"/>
      <c r="Q82" s="424"/>
      <c r="R82" s="133"/>
      <c r="S82" s="133">
        <v>248</v>
      </c>
      <c r="T82" s="133">
        <f ca="1">IF(Data_Shelter_t[[#This Row],[Status]]="Open",Data_Shelter_t[[#This Row],[HH Covered]],0)</f>
        <v>248</v>
      </c>
      <c r="U82" s="425" t="s">
        <v>146</v>
      </c>
      <c r="V82" s="699" t="str">
        <f ca="1">IFERROR(OFFSET(Camp_List[Status],MATCH(Data_Shelter_t[[#This Row],[Camp Name]],Camp_List[Camp Name],0)-1,0,1,1),"")</f>
        <v>Open</v>
      </c>
      <c r="W82" s="643">
        <f ca="1">IFERROR(Data_Shelter_t[[#This Row],[HH Covered]]/OFFSET(Camp_List[HH],MATCH(Data_Shelter_t[[#This Row],[Camp Name]],Camp_List[Camp Name],0)-1,0,1,1),"")</f>
        <v>0.58079625292740045</v>
      </c>
      <c r="X82" s="31">
        <f>Data_Shelter_t[[#This Row],['# of Permanent House Planned (Target)]]+Data_Shelter_t[[#This Row],['# of Individual Shelter Planned (Target)]]</f>
        <v>0</v>
      </c>
      <c r="Y82" s="662">
        <f>Data_Shelter_t[[#This Row],['# of Permanent House Built]]+Data_Shelter_t[[#This Row],['# of Individual Shelter Built]]</f>
        <v>0</v>
      </c>
    </row>
    <row r="83" spans="1:25" x14ac:dyDescent="0.25">
      <c r="A83" s="663">
        <v>41548</v>
      </c>
      <c r="B83" s="424" t="s">
        <v>288</v>
      </c>
      <c r="C83" s="424" t="s">
        <v>288</v>
      </c>
      <c r="D83" s="424" t="s">
        <v>7</v>
      </c>
      <c r="E83" s="426" t="s">
        <v>14</v>
      </c>
      <c r="F83" s="424" t="s">
        <v>42</v>
      </c>
      <c r="G83" s="31">
        <v>8</v>
      </c>
      <c r="H83" s="424"/>
      <c r="I83" s="424"/>
      <c r="J83" s="31">
        <v>98</v>
      </c>
      <c r="K83" s="31">
        <v>98</v>
      </c>
      <c r="L83" s="31"/>
      <c r="M83" s="31"/>
      <c r="N83" s="31"/>
      <c r="O83" s="424"/>
      <c r="P83" s="424"/>
      <c r="Q83" s="424"/>
      <c r="R83" s="133"/>
      <c r="S83" s="133">
        <v>784</v>
      </c>
      <c r="T83" s="133">
        <f ca="1">IF(Data_Shelter_t[[#This Row],[Status]]="Open",Data_Shelter_t[[#This Row],[HH Covered]],0)</f>
        <v>784</v>
      </c>
      <c r="U83" s="425" t="s">
        <v>129</v>
      </c>
      <c r="V83" s="699" t="str">
        <f ca="1">IFERROR(OFFSET(Camp_List[Status],MATCH(Data_Shelter_t[[#This Row],[Camp Name]],Camp_List[Camp Name],0)-1,0,1,1),"")</f>
        <v>Open</v>
      </c>
      <c r="W83" s="643">
        <f ca="1">IFERROR(Data_Shelter_t[[#This Row],[HH Covered]]/OFFSET(Camp_List[HH],MATCH(Data_Shelter_t[[#This Row],[Camp Name]],Camp_List[Camp Name],0)-1,0,1,1),"")</f>
        <v>0.68055555555555558</v>
      </c>
      <c r="X83" s="31">
        <f>Data_Shelter_t[[#This Row],['# of Permanent House Planned (Target)]]+Data_Shelter_t[[#This Row],['# of Individual Shelter Planned (Target)]]</f>
        <v>0</v>
      </c>
      <c r="Y83" s="662">
        <f>Data_Shelter_t[[#This Row],['# of Permanent House Built]]+Data_Shelter_t[[#This Row],['# of Individual Shelter Built]]</f>
        <v>0</v>
      </c>
    </row>
    <row r="84" spans="1:25" x14ac:dyDescent="0.25">
      <c r="A84" s="663">
        <v>41548</v>
      </c>
      <c r="B84" s="424" t="s">
        <v>296</v>
      </c>
      <c r="C84" s="424" t="s">
        <v>296</v>
      </c>
      <c r="D84" s="424" t="s">
        <v>7</v>
      </c>
      <c r="E84" s="426" t="s">
        <v>15</v>
      </c>
      <c r="F84" s="424" t="s">
        <v>44</v>
      </c>
      <c r="G84" s="31">
        <v>8</v>
      </c>
      <c r="H84" s="424"/>
      <c r="I84" s="424"/>
      <c r="J84" s="31">
        <v>2</v>
      </c>
      <c r="K84" s="31">
        <v>2</v>
      </c>
      <c r="L84" s="31"/>
      <c r="M84" s="31"/>
      <c r="N84" s="31"/>
      <c r="O84" s="424"/>
      <c r="P84" s="424"/>
      <c r="Q84" s="424"/>
      <c r="R84" s="133"/>
      <c r="S84" s="133">
        <v>16</v>
      </c>
      <c r="T84" s="133">
        <f ca="1">IF(Data_Shelter_t[[#This Row],[Status]]="Open",Data_Shelter_t[[#This Row],[HH Covered]],0)</f>
        <v>16</v>
      </c>
      <c r="U84" s="425" t="s">
        <v>131</v>
      </c>
      <c r="V84" s="699" t="str">
        <f ca="1">IFERROR(OFFSET(Camp_List[Status],MATCH(Data_Shelter_t[[#This Row],[Camp Name]],Camp_List[Camp Name],0)-1,0,1,1),"")</f>
        <v>Open</v>
      </c>
      <c r="W84" s="643">
        <f ca="1">IFERROR(Data_Shelter_t[[#This Row],[HH Covered]]/OFFSET(Camp_List[HH],MATCH(Data_Shelter_t[[#This Row],[Camp Name]],Camp_List[Camp Name],0)-1,0,1,1),"")</f>
        <v>0.88888888888888884</v>
      </c>
      <c r="X84" s="31">
        <f>Data_Shelter_t[[#This Row],['# of Permanent House Planned (Target)]]+Data_Shelter_t[[#This Row],['# of Individual Shelter Planned (Target)]]</f>
        <v>0</v>
      </c>
      <c r="Y84" s="662">
        <f>Data_Shelter_t[[#This Row],['# of Permanent House Built]]+Data_Shelter_t[[#This Row],['# of Individual Shelter Built]]</f>
        <v>0</v>
      </c>
    </row>
    <row r="85" spans="1:25" x14ac:dyDescent="0.25">
      <c r="A85" s="663">
        <v>41548</v>
      </c>
      <c r="B85" s="424" t="s">
        <v>296</v>
      </c>
      <c r="C85" s="424" t="s">
        <v>296</v>
      </c>
      <c r="D85" s="424" t="s">
        <v>7</v>
      </c>
      <c r="E85" s="426" t="s">
        <v>19</v>
      </c>
      <c r="F85" s="424" t="s">
        <v>649</v>
      </c>
      <c r="G85" s="31">
        <v>8</v>
      </c>
      <c r="H85" s="424"/>
      <c r="I85" s="424"/>
      <c r="J85" s="31">
        <v>78</v>
      </c>
      <c r="K85" s="31">
        <v>78</v>
      </c>
      <c r="L85" s="31"/>
      <c r="M85" s="31"/>
      <c r="N85" s="31"/>
      <c r="O85" s="424"/>
      <c r="P85" s="424"/>
      <c r="Q85" s="424"/>
      <c r="R85" s="133"/>
      <c r="S85" s="133">
        <v>624</v>
      </c>
      <c r="T85" s="133">
        <f ca="1">IF(Data_Shelter_t[[#This Row],[Status]]="Open",Data_Shelter_t[[#This Row],[HH Covered]],0)</f>
        <v>624</v>
      </c>
      <c r="U85" s="425" t="s">
        <v>284</v>
      </c>
      <c r="V85" s="699" t="str">
        <f ca="1">IFERROR(OFFSET(Camp_List[Status],MATCH(Data_Shelter_t[[#This Row],[Camp Name]],Camp_List[Camp Name],0)-1,0,1,1),"")</f>
        <v>Open</v>
      </c>
      <c r="W85" s="643">
        <f ca="1">IFERROR(Data_Shelter_t[[#This Row],[HH Covered]]/OFFSET(Camp_List[HH],MATCH(Data_Shelter_t[[#This Row],[Camp Name]],Camp_List[Camp Name],0)-1,0,1,1),"")</f>
        <v>1</v>
      </c>
      <c r="X85" s="24">
        <f>Data_Shelter_t[[#This Row],['# of Permanent House Planned (Target)]]+Data_Shelter_t[[#This Row],['# of Individual Shelter Planned (Target)]]</f>
        <v>0</v>
      </c>
      <c r="Y85" s="665">
        <f>Data_Shelter_t[[#This Row],['# of Permanent House Built]]+Data_Shelter_t[[#This Row],['# of Individual Shelter Built]]</f>
        <v>0</v>
      </c>
    </row>
    <row r="86" spans="1:25" x14ac:dyDescent="0.25">
      <c r="A86" s="663">
        <v>41548</v>
      </c>
      <c r="B86" s="424" t="s">
        <v>664</v>
      </c>
      <c r="C86" s="424" t="s">
        <v>664</v>
      </c>
      <c r="D86" s="424" t="s">
        <v>7</v>
      </c>
      <c r="E86" s="426" t="s">
        <v>20</v>
      </c>
      <c r="F86" s="424" t="s">
        <v>518</v>
      </c>
      <c r="G86" s="31">
        <v>1</v>
      </c>
      <c r="H86" s="424"/>
      <c r="I86" s="424"/>
      <c r="J86" s="31"/>
      <c r="K86" s="31"/>
      <c r="L86" s="31"/>
      <c r="M86" s="31">
        <v>2</v>
      </c>
      <c r="N86" s="31">
        <v>2</v>
      </c>
      <c r="O86" s="424"/>
      <c r="P86" s="424"/>
      <c r="Q86" s="424"/>
      <c r="R86" s="133"/>
      <c r="S86" s="133">
        <v>2</v>
      </c>
      <c r="T86" s="133">
        <f ca="1">IF(Data_Shelter_t[[#This Row],[Status]]="Open",Data_Shelter_t[[#This Row],[HH Covered]],0)</f>
        <v>0</v>
      </c>
      <c r="U86" s="425" t="s">
        <v>977</v>
      </c>
      <c r="V86" s="699" t="str">
        <f ca="1">IFERROR(OFFSET(Camp_List[Status],MATCH(Data_Shelter_t[[#This Row],[Camp Name]],Camp_List[Camp Name],0)-1,0,1,1),"")</f>
        <v/>
      </c>
      <c r="W86" s="643" t="str">
        <f ca="1">IFERROR(Data_Shelter_t[[#This Row],[HH Covered]]/OFFSET(Camp_List[HH],MATCH(Data_Shelter_t[[#This Row],[Camp Name]],Camp_List[Camp Name],0)-1,0,1,1),"")</f>
        <v/>
      </c>
      <c r="X86" s="31">
        <f>Data_Shelter_t[[#This Row],['# of Permanent House Planned (Target)]]+Data_Shelter_t[[#This Row],['# of Individual Shelter Planned (Target)]]</f>
        <v>2</v>
      </c>
      <c r="Y86" s="665">
        <f>Data_Shelter_t[[#This Row],['# of Permanent House Built]]+Data_Shelter_t[[#This Row],['# of Individual Shelter Built]]</f>
        <v>2</v>
      </c>
    </row>
    <row r="87" spans="1:25" x14ac:dyDescent="0.25">
      <c r="A87" s="663">
        <v>41548</v>
      </c>
      <c r="B87" s="424" t="s">
        <v>664</v>
      </c>
      <c r="C87" s="424" t="s">
        <v>664</v>
      </c>
      <c r="D87" s="424" t="s">
        <v>7</v>
      </c>
      <c r="E87" s="426" t="s">
        <v>20</v>
      </c>
      <c r="F87" s="424" t="s">
        <v>520</v>
      </c>
      <c r="G87" s="31">
        <v>1</v>
      </c>
      <c r="H87" s="424"/>
      <c r="I87" s="424"/>
      <c r="J87" s="31"/>
      <c r="K87" s="31"/>
      <c r="L87" s="31"/>
      <c r="M87" s="31">
        <v>22</v>
      </c>
      <c r="N87" s="31">
        <v>22</v>
      </c>
      <c r="O87" s="424"/>
      <c r="P87" s="424"/>
      <c r="Q87" s="424"/>
      <c r="R87" s="133"/>
      <c r="S87" s="133">
        <v>22</v>
      </c>
      <c r="T87" s="133">
        <f ca="1">IF(Data_Shelter_t[[#This Row],[Status]]="Open",Data_Shelter_t[[#This Row],[HH Covered]],0)</f>
        <v>0</v>
      </c>
      <c r="U87" s="425" t="s">
        <v>977</v>
      </c>
      <c r="V87" s="699" t="str">
        <f ca="1">IFERROR(OFFSET(Camp_List[Status],MATCH(Data_Shelter_t[[#This Row],[Camp Name]],Camp_List[Camp Name],0)-1,0,1,1),"")</f>
        <v/>
      </c>
      <c r="W87" s="643" t="str">
        <f ca="1">IFERROR(Data_Shelter_t[[#This Row],[HH Covered]]/OFFSET(Camp_List[HH],MATCH(Data_Shelter_t[[#This Row],[Camp Name]],Camp_List[Camp Name],0)-1,0,1,1),"")</f>
        <v/>
      </c>
      <c r="X87" s="31">
        <f>Data_Shelter_t[[#This Row],['# of Permanent House Planned (Target)]]+Data_Shelter_t[[#This Row],['# of Individual Shelter Planned (Target)]]</f>
        <v>22</v>
      </c>
      <c r="Y87" s="665">
        <f>Data_Shelter_t[[#This Row],['# of Permanent House Built]]+Data_Shelter_t[[#This Row],['# of Individual Shelter Built]]</f>
        <v>22</v>
      </c>
    </row>
    <row r="88" spans="1:25" x14ac:dyDescent="0.25">
      <c r="A88" s="663">
        <v>41548</v>
      </c>
      <c r="B88" s="424" t="s">
        <v>288</v>
      </c>
      <c r="C88" s="424" t="s">
        <v>288</v>
      </c>
      <c r="D88" s="424" t="s">
        <v>7</v>
      </c>
      <c r="E88" s="426" t="s">
        <v>14</v>
      </c>
      <c r="F88" s="424" t="s">
        <v>41</v>
      </c>
      <c r="G88" s="31">
        <v>8</v>
      </c>
      <c r="H88" s="424"/>
      <c r="I88" s="424"/>
      <c r="J88" s="31">
        <v>169</v>
      </c>
      <c r="K88" s="31">
        <v>169</v>
      </c>
      <c r="L88" s="31"/>
      <c r="M88" s="31"/>
      <c r="N88" s="31"/>
      <c r="O88" s="424"/>
      <c r="P88" s="424"/>
      <c r="Q88" s="424"/>
      <c r="R88" s="133"/>
      <c r="S88" s="133">
        <v>1352</v>
      </c>
      <c r="T88" s="133">
        <f ca="1">IF(Data_Shelter_t[[#This Row],[Status]]="Open",Data_Shelter_t[[#This Row],[HH Covered]],0)</f>
        <v>1352</v>
      </c>
      <c r="U88" s="425" t="s">
        <v>128</v>
      </c>
      <c r="V88" s="699" t="str">
        <f ca="1">IFERROR(OFFSET(Camp_List[Status],MATCH(Data_Shelter_t[[#This Row],[Camp Name]],Camp_List[Camp Name],0)-1,0,1,1),"")</f>
        <v>Open</v>
      </c>
      <c r="W88" s="643">
        <f ca="1">IFERROR(Data_Shelter_t[[#This Row],[HH Covered]]/OFFSET(Camp_List[HH],MATCH(Data_Shelter_t[[#This Row],[Camp Name]],Camp_List[Camp Name],0)-1,0,1,1),"")</f>
        <v>0.8650031989763276</v>
      </c>
      <c r="X88" s="31">
        <f>Data_Shelter_t[[#This Row],['# of Permanent House Planned (Target)]]+Data_Shelter_t[[#This Row],['# of Individual Shelter Planned (Target)]]</f>
        <v>0</v>
      </c>
      <c r="Y88" s="662">
        <f>Data_Shelter_t[[#This Row],['# of Permanent House Built]]+Data_Shelter_t[[#This Row],['# of Individual Shelter Built]]</f>
        <v>0</v>
      </c>
    </row>
    <row r="89" spans="1:25" x14ac:dyDescent="0.25">
      <c r="A89" s="663">
        <v>41548</v>
      </c>
      <c r="B89" s="424" t="s">
        <v>296</v>
      </c>
      <c r="C89" s="424" t="s">
        <v>296</v>
      </c>
      <c r="D89" s="424" t="s">
        <v>7</v>
      </c>
      <c r="E89" s="426" t="s">
        <v>15</v>
      </c>
      <c r="F89" s="424" t="s">
        <v>47</v>
      </c>
      <c r="G89" s="31">
        <v>8</v>
      </c>
      <c r="H89" s="424"/>
      <c r="I89" s="424"/>
      <c r="J89" s="31">
        <v>9</v>
      </c>
      <c r="K89" s="31">
        <v>9</v>
      </c>
      <c r="L89" s="31"/>
      <c r="M89" s="31"/>
      <c r="N89" s="31"/>
      <c r="O89" s="424"/>
      <c r="P89" s="424"/>
      <c r="Q89" s="424"/>
      <c r="R89" s="133"/>
      <c r="S89" s="133">
        <v>72</v>
      </c>
      <c r="T89" s="133">
        <f ca="1">IF(Data_Shelter_t[[#This Row],[Status]]="Open",Data_Shelter_t[[#This Row],[HH Covered]],0)</f>
        <v>72</v>
      </c>
      <c r="U89" s="425" t="s">
        <v>134</v>
      </c>
      <c r="V89" s="699" t="str">
        <f ca="1">IFERROR(OFFSET(Camp_List[Status],MATCH(Data_Shelter_t[[#This Row],[Camp Name]],Camp_List[Camp Name],0)-1,0,1,1),"")</f>
        <v>Open</v>
      </c>
      <c r="W89" s="643">
        <f ca="1">IFERROR(Data_Shelter_t[[#This Row],[HH Covered]]/OFFSET(Camp_List[HH],MATCH(Data_Shelter_t[[#This Row],[Camp Name]],Camp_List[Camp Name],0)-1,0,1,1),"")</f>
        <v>0.84705882352941175</v>
      </c>
      <c r="X89" s="31">
        <f>Data_Shelter_t[[#This Row],['# of Permanent House Planned (Target)]]+Data_Shelter_t[[#This Row],['# of Individual Shelter Planned (Target)]]</f>
        <v>0</v>
      </c>
      <c r="Y89" s="662">
        <f>Data_Shelter_t[[#This Row],['# of Permanent House Built]]+Data_Shelter_t[[#This Row],['# of Individual Shelter Built]]</f>
        <v>0</v>
      </c>
    </row>
    <row r="90" spans="1:25" x14ac:dyDescent="0.25">
      <c r="A90" s="663">
        <v>41548</v>
      </c>
      <c r="B90" s="424" t="s">
        <v>296</v>
      </c>
      <c r="C90" s="424" t="s">
        <v>296</v>
      </c>
      <c r="D90" s="424" t="s">
        <v>7</v>
      </c>
      <c r="E90" s="426" t="s">
        <v>16</v>
      </c>
      <c r="F90" s="424" t="s">
        <v>55</v>
      </c>
      <c r="G90" s="31">
        <v>8</v>
      </c>
      <c r="H90" s="424"/>
      <c r="I90" s="424"/>
      <c r="J90" s="31">
        <v>7</v>
      </c>
      <c r="K90" s="31">
        <v>7</v>
      </c>
      <c r="L90" s="31"/>
      <c r="M90" s="31"/>
      <c r="N90" s="31"/>
      <c r="O90" s="424"/>
      <c r="P90" s="424"/>
      <c r="Q90" s="424"/>
      <c r="R90" s="133"/>
      <c r="S90" s="133">
        <v>56</v>
      </c>
      <c r="T90" s="133">
        <f ca="1">IF(Data_Shelter_t[[#This Row],[Status]]="Open",Data_Shelter_t[[#This Row],[HH Covered]],0)</f>
        <v>56</v>
      </c>
      <c r="U90" s="425" t="s">
        <v>142</v>
      </c>
      <c r="V90" s="699" t="str">
        <f ca="1">IFERROR(OFFSET(Camp_List[Status],MATCH(Data_Shelter_t[[#This Row],[Camp Name]],Camp_List[Camp Name],0)-1,0,1,1),"")</f>
        <v>Open</v>
      </c>
      <c r="W90" s="643">
        <f ca="1">IFERROR(Data_Shelter_t[[#This Row],[HH Covered]]/OFFSET(Camp_List[HH],MATCH(Data_Shelter_t[[#This Row],[Camp Name]],Camp_List[Camp Name],0)-1,0,1,1),"")</f>
        <v>1.037037037037037</v>
      </c>
      <c r="X90" s="31">
        <f>Data_Shelter_t[[#This Row],['# of Permanent House Planned (Target)]]+Data_Shelter_t[[#This Row],['# of Individual Shelter Planned (Target)]]</f>
        <v>0</v>
      </c>
      <c r="Y90" s="662">
        <f>Data_Shelter_t[[#This Row],['# of Permanent House Built]]+Data_Shelter_t[[#This Row],['# of Individual Shelter Built]]</f>
        <v>0</v>
      </c>
    </row>
    <row r="91" spans="1:25" x14ac:dyDescent="0.25">
      <c r="A91" s="663">
        <v>41548</v>
      </c>
      <c r="B91" s="424" t="s">
        <v>288</v>
      </c>
      <c r="C91" s="424" t="s">
        <v>288</v>
      </c>
      <c r="D91" s="424" t="s">
        <v>7</v>
      </c>
      <c r="E91" s="426" t="s">
        <v>19</v>
      </c>
      <c r="F91" s="424" t="s">
        <v>654</v>
      </c>
      <c r="G91" s="31">
        <v>8</v>
      </c>
      <c r="H91" s="424"/>
      <c r="I91" s="424"/>
      <c r="J91" s="31">
        <v>80</v>
      </c>
      <c r="K91" s="31">
        <v>80</v>
      </c>
      <c r="L91" s="31"/>
      <c r="M91" s="31"/>
      <c r="N91" s="31"/>
      <c r="O91" s="424"/>
      <c r="P91" s="424"/>
      <c r="Q91" s="424"/>
      <c r="R91" s="133"/>
      <c r="S91" s="133">
        <v>640</v>
      </c>
      <c r="T91" s="133">
        <f ca="1">IF(Data_Shelter_t[[#This Row],[Status]]="Open",Data_Shelter_t[[#This Row],[HH Covered]],0)</f>
        <v>640</v>
      </c>
      <c r="U91" s="425" t="s">
        <v>561</v>
      </c>
      <c r="V91" s="699" t="str">
        <f ca="1">IFERROR(OFFSET(Camp_List[Status],MATCH(Data_Shelter_t[[#This Row],[Camp Name]],Camp_List[Camp Name],0)-1,0,1,1),"")</f>
        <v>Open</v>
      </c>
      <c r="W91" s="643">
        <f ca="1">IFERROR(Data_Shelter_t[[#This Row],[HH Covered]]/OFFSET(Camp_List[HH],MATCH(Data_Shelter_t[[#This Row],[Camp Name]],Camp_List[Camp Name],0)-1,0,1,1),"")</f>
        <v>0.98613251155624038</v>
      </c>
      <c r="X91" s="31">
        <f>Data_Shelter_t[[#This Row],['# of Permanent House Planned (Target)]]+Data_Shelter_t[[#This Row],['# of Individual Shelter Planned (Target)]]</f>
        <v>0</v>
      </c>
      <c r="Y91" s="662">
        <f>Data_Shelter_t[[#This Row],['# of Permanent House Built]]+Data_Shelter_t[[#This Row],['# of Individual Shelter Built]]</f>
        <v>0</v>
      </c>
    </row>
    <row r="92" spans="1:25" x14ac:dyDescent="0.25">
      <c r="A92" s="663">
        <v>41548</v>
      </c>
      <c r="B92" s="424" t="s">
        <v>455</v>
      </c>
      <c r="C92" s="424" t="s">
        <v>455</v>
      </c>
      <c r="D92" s="424" t="s">
        <v>7</v>
      </c>
      <c r="E92" s="426" t="s">
        <v>19</v>
      </c>
      <c r="F92" s="424" t="s">
        <v>655</v>
      </c>
      <c r="G92" s="31">
        <v>8</v>
      </c>
      <c r="H92" s="424"/>
      <c r="I92" s="424"/>
      <c r="J92" s="31">
        <v>45</v>
      </c>
      <c r="K92" s="31">
        <v>45</v>
      </c>
      <c r="L92" s="31"/>
      <c r="M92" s="31"/>
      <c r="N92" s="31"/>
      <c r="O92" s="424"/>
      <c r="P92" s="424"/>
      <c r="Q92" s="424"/>
      <c r="R92" s="133"/>
      <c r="S92" s="133">
        <v>360</v>
      </c>
      <c r="T92" s="133">
        <f ca="1">IF(Data_Shelter_t[[#This Row],[Status]]="Open",Data_Shelter_t[[#This Row],[HH Covered]],0)</f>
        <v>360</v>
      </c>
      <c r="U92" s="425" t="s">
        <v>657</v>
      </c>
      <c r="V92" s="699" t="str">
        <f ca="1">IFERROR(OFFSET(Camp_List[Status],MATCH(Data_Shelter_t[[#This Row],[Camp Name]],Camp_List[Camp Name],0)-1,0,1,1),"")</f>
        <v>Open</v>
      </c>
      <c r="W92" s="643">
        <f ca="1">IFERROR(Data_Shelter_t[[#This Row],[HH Covered]]/OFFSET(Camp_List[HH],MATCH(Data_Shelter_t[[#This Row],[Camp Name]],Camp_List[Camp Name],0)-1,0,1,1),"")</f>
        <v>0.13693419551160138</v>
      </c>
      <c r="X92" s="31">
        <f>Data_Shelter_t[[#This Row],['# of Permanent House Planned (Target)]]+Data_Shelter_t[[#This Row],['# of Individual Shelter Planned (Target)]]</f>
        <v>0</v>
      </c>
      <c r="Y92" s="662">
        <f>Data_Shelter_t[[#This Row],['# of Permanent House Built]]+Data_Shelter_t[[#This Row],['# of Individual Shelter Built]]</f>
        <v>0</v>
      </c>
    </row>
    <row r="93" spans="1:25" s="5" customFormat="1" x14ac:dyDescent="0.25">
      <c r="A93" s="663">
        <v>41548</v>
      </c>
      <c r="B93" s="424" t="s">
        <v>296</v>
      </c>
      <c r="C93" s="424" t="s">
        <v>296</v>
      </c>
      <c r="D93" s="424" t="s">
        <v>7</v>
      </c>
      <c r="E93" s="426" t="s">
        <v>19</v>
      </c>
      <c r="F93" s="424" t="s">
        <v>655</v>
      </c>
      <c r="G93" s="31">
        <v>8</v>
      </c>
      <c r="H93" s="424"/>
      <c r="I93" s="424"/>
      <c r="J93" s="31">
        <v>60</v>
      </c>
      <c r="K93" s="31">
        <v>60</v>
      </c>
      <c r="L93" s="24"/>
      <c r="M93" s="31"/>
      <c r="N93" s="31"/>
      <c r="O93" s="424"/>
      <c r="P93" s="424"/>
      <c r="Q93" s="424"/>
      <c r="R93" s="133"/>
      <c r="S93" s="133">
        <v>480</v>
      </c>
      <c r="T93" s="133">
        <f ca="1">IF(Data_Shelter_t[[#This Row],[Status]]="Open",Data_Shelter_t[[#This Row],[HH Covered]],0)</f>
        <v>480</v>
      </c>
      <c r="U93" s="425" t="s">
        <v>657</v>
      </c>
      <c r="V93" s="699" t="str">
        <f ca="1">IFERROR(OFFSET(Camp_List[Status],MATCH(Data_Shelter_t[[#This Row],[Camp Name]],Camp_List[Camp Name],0)-1,0,1,1),"")</f>
        <v>Open</v>
      </c>
      <c r="W93" s="643">
        <f ca="1">IFERROR(Data_Shelter_t[[#This Row],[HH Covered]]/OFFSET(Camp_List[HH],MATCH(Data_Shelter_t[[#This Row],[Camp Name]],Camp_List[Camp Name],0)-1,0,1,1),"")</f>
        <v>0.18257892734880182</v>
      </c>
      <c r="X93" s="31">
        <f>Data_Shelter_t[[#This Row],['# of Permanent House Planned (Target)]]+Data_Shelter_t[[#This Row],['# of Individual Shelter Planned (Target)]]</f>
        <v>0</v>
      </c>
      <c r="Y93" s="662">
        <f>Data_Shelter_t[[#This Row],['# of Permanent House Built]]+Data_Shelter_t[[#This Row],['# of Individual Shelter Built]]</f>
        <v>0</v>
      </c>
    </row>
    <row r="94" spans="1:25" s="5" customFormat="1" x14ac:dyDescent="0.25">
      <c r="A94" s="664">
        <v>41548</v>
      </c>
      <c r="B94" s="425" t="s">
        <v>642</v>
      </c>
      <c r="C94" s="425" t="s">
        <v>642</v>
      </c>
      <c r="D94" s="425" t="s">
        <v>7</v>
      </c>
      <c r="E94" s="440" t="s">
        <v>19</v>
      </c>
      <c r="F94" s="425" t="s">
        <v>655</v>
      </c>
      <c r="G94" s="24">
        <v>8</v>
      </c>
      <c r="H94" s="425"/>
      <c r="I94" s="425"/>
      <c r="J94" s="24">
        <v>115</v>
      </c>
      <c r="K94" s="24">
        <v>115</v>
      </c>
      <c r="L94" s="24"/>
      <c r="M94" s="24"/>
      <c r="N94" s="24"/>
      <c r="O94" s="425"/>
      <c r="P94" s="425"/>
      <c r="Q94" s="425"/>
      <c r="R94" s="133"/>
      <c r="S94" s="133">
        <v>920</v>
      </c>
      <c r="T94" s="133">
        <f ca="1">IF(Data_Shelter_t[[#This Row],[Status]]="Open",Data_Shelter_t[[#This Row],[HH Covered]],0)</f>
        <v>920</v>
      </c>
      <c r="U94" s="425" t="s">
        <v>657</v>
      </c>
      <c r="V94" s="699" t="str">
        <f ca="1">IFERROR(OFFSET(Camp_List[Status],MATCH(Data_Shelter_t[[#This Row],[Camp Name]],Camp_List[Camp Name],0)-1,0,1,1),"")</f>
        <v>Open</v>
      </c>
      <c r="W94" s="643">
        <f ca="1">IFERROR(Data_Shelter_t[[#This Row],[HH Covered]]/OFFSET(Camp_List[HH],MATCH(Data_Shelter_t[[#This Row],[Camp Name]],Camp_List[Camp Name],0)-1,0,1,1),"")</f>
        <v>0.34994294408520349</v>
      </c>
      <c r="X94" s="31">
        <f>Data_Shelter_t[[#This Row],['# of Permanent House Planned (Target)]]+Data_Shelter_t[[#This Row],['# of Individual Shelter Planned (Target)]]</f>
        <v>0</v>
      </c>
      <c r="Y94" s="662">
        <f>Data_Shelter_t[[#This Row],['# of Permanent House Built]]+Data_Shelter_t[[#This Row],['# of Individual Shelter Built]]</f>
        <v>0</v>
      </c>
    </row>
    <row r="95" spans="1:25" s="5" customFormat="1" x14ac:dyDescent="0.25">
      <c r="A95" s="663">
        <v>41548</v>
      </c>
      <c r="B95" s="424" t="s">
        <v>288</v>
      </c>
      <c r="C95" s="424" t="s">
        <v>288</v>
      </c>
      <c r="D95" s="424" t="s">
        <v>7</v>
      </c>
      <c r="E95" s="426" t="s">
        <v>19</v>
      </c>
      <c r="F95" s="424" t="s">
        <v>655</v>
      </c>
      <c r="G95" s="31">
        <v>8</v>
      </c>
      <c r="H95" s="424"/>
      <c r="I95" s="424"/>
      <c r="J95" s="24">
        <v>115</v>
      </c>
      <c r="K95" s="31">
        <v>115</v>
      </c>
      <c r="L95" s="31"/>
      <c r="M95" s="31"/>
      <c r="N95" s="31"/>
      <c r="O95" s="424"/>
      <c r="P95" s="424"/>
      <c r="Q95" s="424"/>
      <c r="R95" s="133"/>
      <c r="S95" s="133">
        <v>920</v>
      </c>
      <c r="T95" s="133">
        <f ca="1">IF(Data_Shelter_t[[#This Row],[Status]]="Open",Data_Shelter_t[[#This Row],[HH Covered]],0)</f>
        <v>920</v>
      </c>
      <c r="U95" s="425" t="s">
        <v>657</v>
      </c>
      <c r="V95" s="699" t="str">
        <f ca="1">IFERROR(OFFSET(Camp_List[Status],MATCH(Data_Shelter_t[[#This Row],[Camp Name]],Camp_List[Camp Name],0)-1,0,1,1),"")</f>
        <v>Open</v>
      </c>
      <c r="W95" s="643">
        <f ca="1">IFERROR(Data_Shelter_t[[#This Row],[HH Covered]]/OFFSET(Camp_List[HH],MATCH(Data_Shelter_t[[#This Row],[Camp Name]],Camp_List[Camp Name],0)-1,0,1,1),"")</f>
        <v>0.34994294408520349</v>
      </c>
      <c r="X95" s="31">
        <f>Data_Shelter_t[[#This Row],['# of Permanent House Planned (Target)]]+Data_Shelter_t[[#This Row],['# of Individual Shelter Planned (Target)]]</f>
        <v>0</v>
      </c>
      <c r="Y95" s="662">
        <f>Data_Shelter_t[[#This Row],['# of Permanent House Built]]+Data_Shelter_t[[#This Row],['# of Individual Shelter Built]]</f>
        <v>0</v>
      </c>
    </row>
    <row r="96" spans="1:25" s="5" customFormat="1" x14ac:dyDescent="0.25">
      <c r="A96" s="663">
        <v>41548</v>
      </c>
      <c r="B96" s="424" t="s">
        <v>296</v>
      </c>
      <c r="C96" s="424" t="s">
        <v>296</v>
      </c>
      <c r="D96" s="424" t="s">
        <v>7</v>
      </c>
      <c r="E96" s="426" t="s">
        <v>19</v>
      </c>
      <c r="F96" s="424" t="s">
        <v>656</v>
      </c>
      <c r="G96" s="31">
        <v>8</v>
      </c>
      <c r="H96" s="424"/>
      <c r="I96" s="424"/>
      <c r="J96" s="31">
        <v>221</v>
      </c>
      <c r="K96" s="31">
        <v>221</v>
      </c>
      <c r="L96" s="24"/>
      <c r="M96" s="31"/>
      <c r="N96" s="31"/>
      <c r="O96" s="424"/>
      <c r="P96" s="424"/>
      <c r="Q96" s="424"/>
      <c r="R96" s="133"/>
      <c r="S96" s="133">
        <v>1768</v>
      </c>
      <c r="T96" s="133">
        <f ca="1">IF(Data_Shelter_t[[#This Row],[Status]]="Open",Data_Shelter_t[[#This Row],[HH Covered]],0)</f>
        <v>1768</v>
      </c>
      <c r="U96" s="425" t="s">
        <v>658</v>
      </c>
      <c r="V96" s="699" t="str">
        <f ca="1">IFERROR(OFFSET(Camp_List[Status],MATCH(Data_Shelter_t[[#This Row],[Camp Name]],Camp_List[Camp Name],0)-1,0,1,1),"")</f>
        <v>Open</v>
      </c>
      <c r="W96" s="643">
        <f ca="1">IFERROR(Data_Shelter_t[[#This Row],[HH Covered]]/OFFSET(Camp_List[HH],MATCH(Data_Shelter_t[[#This Row],[Camp Name]],Camp_List[Camp Name],0)-1,0,1,1),"")</f>
        <v>0.78823004904146232</v>
      </c>
      <c r="X96" s="31">
        <f>Data_Shelter_t[[#This Row],['# of Permanent House Planned (Target)]]+Data_Shelter_t[[#This Row],['# of Individual Shelter Planned (Target)]]</f>
        <v>0</v>
      </c>
      <c r="Y96" s="662">
        <f>Data_Shelter_t[[#This Row],['# of Permanent House Built]]+Data_Shelter_t[[#This Row],['# of Individual Shelter Built]]</f>
        <v>0</v>
      </c>
    </row>
    <row r="97" spans="1:25" s="5" customFormat="1" x14ac:dyDescent="0.25">
      <c r="A97" s="663">
        <v>41548</v>
      </c>
      <c r="B97" s="424" t="s">
        <v>296</v>
      </c>
      <c r="C97" s="424" t="s">
        <v>296</v>
      </c>
      <c r="D97" s="424" t="s">
        <v>7</v>
      </c>
      <c r="E97" s="426" t="s">
        <v>19</v>
      </c>
      <c r="F97" s="424" t="s">
        <v>656</v>
      </c>
      <c r="G97" s="31">
        <v>10</v>
      </c>
      <c r="H97" s="424"/>
      <c r="I97" s="424"/>
      <c r="J97" s="31">
        <v>20</v>
      </c>
      <c r="K97" s="31">
        <v>20</v>
      </c>
      <c r="L97" s="31"/>
      <c r="M97" s="31"/>
      <c r="N97" s="31"/>
      <c r="O97" s="424"/>
      <c r="P97" s="424"/>
      <c r="Q97" s="424"/>
      <c r="R97" s="133"/>
      <c r="S97" s="133">
        <v>200</v>
      </c>
      <c r="T97" s="133">
        <f ca="1">IF(Data_Shelter_t[[#This Row],[Status]]="Open",Data_Shelter_t[[#This Row],[HH Covered]],0)</f>
        <v>200</v>
      </c>
      <c r="U97" s="425" t="s">
        <v>658</v>
      </c>
      <c r="V97" s="699" t="str">
        <f ca="1">IFERROR(OFFSET(Camp_List[Status],MATCH(Data_Shelter_t[[#This Row],[Camp Name]],Camp_List[Camp Name],0)-1,0,1,1),"")</f>
        <v>Open</v>
      </c>
      <c r="W97" s="643">
        <f ca="1">IFERROR(Data_Shelter_t[[#This Row],[HH Covered]]/OFFSET(Camp_List[HH],MATCH(Data_Shelter_t[[#This Row],[Camp Name]],Camp_List[Camp Name],0)-1,0,1,1),"")</f>
        <v>8.9166295140436919E-2</v>
      </c>
      <c r="X97" s="31">
        <f>Data_Shelter_t[[#This Row],['# of Permanent House Planned (Target)]]+Data_Shelter_t[[#This Row],['# of Individual Shelter Planned (Target)]]</f>
        <v>0</v>
      </c>
      <c r="Y97" s="662">
        <f>Data_Shelter_t[[#This Row],['# of Permanent House Built]]+Data_Shelter_t[[#This Row],['# of Individual Shelter Built]]</f>
        <v>0</v>
      </c>
    </row>
    <row r="98" spans="1:25" s="5" customFormat="1" x14ac:dyDescent="0.25">
      <c r="A98" s="663">
        <v>41548</v>
      </c>
      <c r="B98" s="424" t="s">
        <v>288</v>
      </c>
      <c r="C98" s="424" t="s">
        <v>288</v>
      </c>
      <c r="D98" s="424" t="s">
        <v>7</v>
      </c>
      <c r="E98" s="426" t="s">
        <v>19</v>
      </c>
      <c r="F98" s="424" t="s">
        <v>656</v>
      </c>
      <c r="G98" s="31">
        <v>8</v>
      </c>
      <c r="H98" s="424"/>
      <c r="I98" s="424"/>
      <c r="J98" s="31">
        <v>35</v>
      </c>
      <c r="K98" s="31">
        <v>35</v>
      </c>
      <c r="L98" s="31"/>
      <c r="M98" s="31"/>
      <c r="N98" s="31"/>
      <c r="O98" s="424"/>
      <c r="P98" s="424"/>
      <c r="Q98" s="424"/>
      <c r="R98" s="133"/>
      <c r="S98" s="133">
        <v>280</v>
      </c>
      <c r="T98" s="133">
        <f ca="1">IF(Data_Shelter_t[[#This Row],[Status]]="Open",Data_Shelter_t[[#This Row],[HH Covered]],0)</f>
        <v>280</v>
      </c>
      <c r="U98" s="425" t="s">
        <v>658</v>
      </c>
      <c r="V98" s="699" t="str">
        <f ca="1">IFERROR(OFFSET(Camp_List[Status],MATCH(Data_Shelter_t[[#This Row],[Camp Name]],Camp_List[Camp Name],0)-1,0,1,1),"")</f>
        <v>Open</v>
      </c>
      <c r="W98" s="643">
        <f ca="1">IFERROR(Data_Shelter_t[[#This Row],[HH Covered]]/OFFSET(Camp_List[HH],MATCH(Data_Shelter_t[[#This Row],[Camp Name]],Camp_List[Camp Name],0)-1,0,1,1),"")</f>
        <v>0.12483281319661169</v>
      </c>
      <c r="X98" s="31">
        <f>Data_Shelter_t[[#This Row],['# of Permanent House Planned (Target)]]+Data_Shelter_t[[#This Row],['# of Individual Shelter Planned (Target)]]</f>
        <v>0</v>
      </c>
      <c r="Y98" s="662">
        <f>Data_Shelter_t[[#This Row],['# of Permanent House Built]]+Data_Shelter_t[[#This Row],['# of Individual Shelter Built]]</f>
        <v>0</v>
      </c>
    </row>
    <row r="99" spans="1:25" s="5" customFormat="1" x14ac:dyDescent="0.25">
      <c r="A99" s="663">
        <v>41548</v>
      </c>
      <c r="B99" s="424" t="s">
        <v>296</v>
      </c>
      <c r="C99" s="424" t="s">
        <v>296</v>
      </c>
      <c r="D99" s="424" t="s">
        <v>7</v>
      </c>
      <c r="E99" s="426" t="s">
        <v>12</v>
      </c>
      <c r="F99" s="424" t="s">
        <v>33</v>
      </c>
      <c r="G99" s="31">
        <v>8</v>
      </c>
      <c r="H99" s="424"/>
      <c r="I99" s="424"/>
      <c r="J99" s="31">
        <v>26</v>
      </c>
      <c r="K99" s="31">
        <v>26</v>
      </c>
      <c r="L99" s="31"/>
      <c r="M99" s="31"/>
      <c r="N99" s="31"/>
      <c r="O99" s="424"/>
      <c r="P99" s="424"/>
      <c r="Q99" s="424"/>
      <c r="R99" s="133"/>
      <c r="S99" s="133">
        <v>208</v>
      </c>
      <c r="T99" s="133">
        <f ca="1">IF(Data_Shelter_t[[#This Row],[Status]]="Open",Data_Shelter_t[[#This Row],[HH Covered]],0)</f>
        <v>208</v>
      </c>
      <c r="U99" s="425" t="s">
        <v>120</v>
      </c>
      <c r="V99" s="699" t="str">
        <f ca="1">IFERROR(OFFSET(Camp_List[Status],MATCH(Data_Shelter_t[[#This Row],[Camp Name]],Camp_List[Camp Name],0)-1,0,1,1),"")</f>
        <v>Open</v>
      </c>
      <c r="W99" s="643">
        <f ca="1">IFERROR(Data_Shelter_t[[#This Row],[HH Covered]]/OFFSET(Camp_List[HH],MATCH(Data_Shelter_t[[#This Row],[Camp Name]],Camp_List[Camp Name],0)-1,0,1,1),"")</f>
        <v>1.0196078431372548</v>
      </c>
      <c r="X99" s="31">
        <f>Data_Shelter_t[[#This Row],['# of Permanent House Planned (Target)]]+Data_Shelter_t[[#This Row],['# of Individual Shelter Planned (Target)]]</f>
        <v>0</v>
      </c>
      <c r="Y99" s="662">
        <f>Data_Shelter_t[[#This Row],['# of Permanent House Built]]+Data_Shelter_t[[#This Row],['# of Individual Shelter Built]]</f>
        <v>0</v>
      </c>
    </row>
    <row r="100" spans="1:25" s="5" customFormat="1" x14ac:dyDescent="0.25">
      <c r="A100" s="663">
        <v>41548</v>
      </c>
      <c r="B100" s="424" t="s">
        <v>296</v>
      </c>
      <c r="C100" s="424" t="s">
        <v>296</v>
      </c>
      <c r="D100" s="424" t="s">
        <v>7</v>
      </c>
      <c r="E100" s="426" t="s">
        <v>11</v>
      </c>
      <c r="F100" s="424" t="s">
        <v>25</v>
      </c>
      <c r="G100" s="31">
        <v>8</v>
      </c>
      <c r="H100" s="424"/>
      <c r="I100" s="424"/>
      <c r="J100" s="31">
        <v>2</v>
      </c>
      <c r="K100" s="31">
        <v>2</v>
      </c>
      <c r="L100" s="31"/>
      <c r="M100" s="31"/>
      <c r="N100" s="31"/>
      <c r="O100" s="424"/>
      <c r="P100" s="424"/>
      <c r="Q100" s="424"/>
      <c r="R100" s="133"/>
      <c r="S100" s="133">
        <v>16</v>
      </c>
      <c r="T100" s="133">
        <f ca="1">IF(Data_Shelter_t[[#This Row],[Status]]="Open",Data_Shelter_t[[#This Row],[HH Covered]],0)</f>
        <v>16</v>
      </c>
      <c r="U100" s="425" t="s">
        <v>112</v>
      </c>
      <c r="V100" s="699" t="str">
        <f ca="1">IFERROR(OFFSET(Camp_List[Status],MATCH(Data_Shelter_t[[#This Row],[Camp Name]],Camp_List[Camp Name],0)-1,0,1,1),"")</f>
        <v>Open</v>
      </c>
      <c r="W100" s="643">
        <f ca="1">IFERROR(Data_Shelter_t[[#This Row],[HH Covered]]/OFFSET(Camp_List[HH],MATCH(Data_Shelter_t[[#This Row],[Camp Name]],Camp_List[Camp Name],0)-1,0,1,1),"")</f>
        <v>0.84210526315789469</v>
      </c>
      <c r="X100" s="31">
        <f>Data_Shelter_t[[#This Row],['# of Permanent House Planned (Target)]]+Data_Shelter_t[[#This Row],['# of Individual Shelter Planned (Target)]]</f>
        <v>0</v>
      </c>
      <c r="Y100" s="662">
        <f>Data_Shelter_t[[#This Row],['# of Permanent House Built]]+Data_Shelter_t[[#This Row],['# of Individual Shelter Built]]</f>
        <v>0</v>
      </c>
    </row>
    <row r="101" spans="1:25" s="5" customFormat="1" x14ac:dyDescent="0.25">
      <c r="A101" s="663">
        <v>41548</v>
      </c>
      <c r="B101" s="424" t="s">
        <v>301</v>
      </c>
      <c r="C101" s="424" t="s">
        <v>301</v>
      </c>
      <c r="D101" s="424" t="s">
        <v>7</v>
      </c>
      <c r="E101" s="426" t="s">
        <v>17</v>
      </c>
      <c r="F101" s="424" t="s">
        <v>484</v>
      </c>
      <c r="G101" s="31">
        <v>8</v>
      </c>
      <c r="H101" s="424"/>
      <c r="I101" s="424"/>
      <c r="J101" s="31">
        <v>7</v>
      </c>
      <c r="K101" s="31">
        <v>7</v>
      </c>
      <c r="L101" s="31"/>
      <c r="M101" s="31"/>
      <c r="N101" s="31"/>
      <c r="O101" s="424"/>
      <c r="P101" s="424"/>
      <c r="Q101" s="424"/>
      <c r="R101" s="133"/>
      <c r="S101" s="133">
        <v>56</v>
      </c>
      <c r="T101" s="133">
        <f ca="1">IF(Data_Shelter_t[[#This Row],[Status]]="Open",Data_Shelter_t[[#This Row],[HH Covered]],0)</f>
        <v>56</v>
      </c>
      <c r="U101" s="425" t="s">
        <v>147</v>
      </c>
      <c r="V101" s="699" t="str">
        <f ca="1">IFERROR(OFFSET(Camp_List[Status],MATCH(Data_Shelter_t[[#This Row],[Camp Name]],Camp_List[Camp Name],0)-1,0,1,1),"")</f>
        <v>Open</v>
      </c>
      <c r="W101" s="643">
        <f ca="1">IFERROR(Data_Shelter_t[[#This Row],[HH Covered]]/OFFSET(Camp_List[HH],MATCH(Data_Shelter_t[[#This Row],[Camp Name]],Camp_List[Camp Name],0)-1,0,1,1),"")</f>
        <v>0.86153846153846159</v>
      </c>
      <c r="X101" s="31">
        <f>Data_Shelter_t[[#This Row],['# of Permanent House Planned (Target)]]+Data_Shelter_t[[#This Row],['# of Individual Shelter Planned (Target)]]</f>
        <v>0</v>
      </c>
      <c r="Y101" s="662">
        <f>Data_Shelter_t[[#This Row],['# of Permanent House Built]]+Data_Shelter_t[[#This Row],['# of Individual Shelter Built]]</f>
        <v>0</v>
      </c>
    </row>
    <row r="102" spans="1:25" s="5" customFormat="1" x14ac:dyDescent="0.25">
      <c r="A102" s="664">
        <v>41548</v>
      </c>
      <c r="B102" s="425" t="s">
        <v>296</v>
      </c>
      <c r="C102" s="425" t="s">
        <v>296</v>
      </c>
      <c r="D102" s="425" t="s">
        <v>7</v>
      </c>
      <c r="E102" s="440" t="s">
        <v>18</v>
      </c>
      <c r="F102" s="425" t="s">
        <v>59</v>
      </c>
      <c r="G102" s="24">
        <v>8</v>
      </c>
      <c r="H102" s="425"/>
      <c r="I102" s="425"/>
      <c r="J102" s="24">
        <v>12</v>
      </c>
      <c r="K102" s="24">
        <v>12</v>
      </c>
      <c r="L102" s="24"/>
      <c r="M102" s="24"/>
      <c r="N102" s="24"/>
      <c r="O102" s="425"/>
      <c r="P102" s="425"/>
      <c r="Q102" s="425"/>
      <c r="R102" s="133"/>
      <c r="S102" s="133">
        <v>96</v>
      </c>
      <c r="T102" s="133">
        <f ca="1">IF(Data_Shelter_t[[#This Row],[Status]]="Open",Data_Shelter_t[[#This Row],[HH Covered]],0)</f>
        <v>96</v>
      </c>
      <c r="U102" s="425" t="s">
        <v>148</v>
      </c>
      <c r="V102" s="699" t="str">
        <f ca="1">IFERROR(OFFSET(Camp_List[Status],MATCH(Data_Shelter_t[[#This Row],[Camp Name]],Camp_List[Camp Name],0)-1,0,1,1),"")</f>
        <v>Open</v>
      </c>
      <c r="W102" s="643">
        <f ca="1">IFERROR(Data_Shelter_t[[#This Row],[HH Covered]]/OFFSET(Camp_List[HH],MATCH(Data_Shelter_t[[#This Row],[Camp Name]],Camp_List[Camp Name],0)-1,0,1,1),"")</f>
        <v>1.6</v>
      </c>
      <c r="X102" s="31">
        <f>Data_Shelter_t[[#This Row],['# of Permanent House Planned (Target)]]+Data_Shelter_t[[#This Row],['# of Individual Shelter Planned (Target)]]</f>
        <v>0</v>
      </c>
      <c r="Y102" s="662">
        <f>Data_Shelter_t[[#This Row],['# of Permanent House Built]]+Data_Shelter_t[[#This Row],['# of Individual Shelter Built]]</f>
        <v>0</v>
      </c>
    </row>
    <row r="103" spans="1:25" s="5" customFormat="1" x14ac:dyDescent="0.25">
      <c r="A103" s="663">
        <v>41548</v>
      </c>
      <c r="B103" s="425" t="s">
        <v>296</v>
      </c>
      <c r="C103" s="425" t="s">
        <v>296</v>
      </c>
      <c r="D103" s="424" t="s">
        <v>7</v>
      </c>
      <c r="E103" s="440" t="s">
        <v>11</v>
      </c>
      <c r="F103" s="425" t="s">
        <v>32</v>
      </c>
      <c r="G103" s="24">
        <v>8</v>
      </c>
      <c r="H103" s="424"/>
      <c r="I103" s="424"/>
      <c r="J103" s="24">
        <v>28</v>
      </c>
      <c r="K103" s="24">
        <v>28</v>
      </c>
      <c r="L103" s="24"/>
      <c r="M103" s="31"/>
      <c r="N103" s="31"/>
      <c r="O103" s="424"/>
      <c r="P103" s="424"/>
      <c r="Q103" s="424"/>
      <c r="R103" s="133"/>
      <c r="S103" s="133">
        <v>224</v>
      </c>
      <c r="T103" s="133">
        <f ca="1">IF(Data_Shelter_t[[#This Row],[Status]]="Open",Data_Shelter_t[[#This Row],[HH Covered]],0)</f>
        <v>224</v>
      </c>
      <c r="U103" s="425" t="s">
        <v>119</v>
      </c>
      <c r="V103" s="699" t="str">
        <f ca="1">IFERROR(OFFSET(Camp_List[Status],MATCH(Data_Shelter_t[[#This Row],[Camp Name]],Camp_List[Camp Name],0)-1,0,1,1),"")</f>
        <v>Open</v>
      </c>
      <c r="W103" s="643">
        <f ca="1">IFERROR(Data_Shelter_t[[#This Row],[HH Covered]]/OFFSET(Camp_List[HH],MATCH(Data_Shelter_t[[#This Row],[Camp Name]],Camp_List[Camp Name],0)-1,0,1,1),"")</f>
        <v>0.99555555555555553</v>
      </c>
      <c r="X103" s="31">
        <f>Data_Shelter_t[[#This Row],['# of Permanent House Planned (Target)]]+Data_Shelter_t[[#This Row],['# of Individual Shelter Planned (Target)]]</f>
        <v>0</v>
      </c>
      <c r="Y103" s="662">
        <f>Data_Shelter_t[[#This Row],['# of Permanent House Built]]+Data_Shelter_t[[#This Row],['# of Individual Shelter Built]]</f>
        <v>0</v>
      </c>
    </row>
    <row r="104" spans="1:25" s="5" customFormat="1" x14ac:dyDescent="0.25">
      <c r="A104" s="663">
        <v>41548</v>
      </c>
      <c r="B104" s="425" t="s">
        <v>296</v>
      </c>
      <c r="C104" s="425" t="s">
        <v>296</v>
      </c>
      <c r="D104" s="424" t="s">
        <v>7</v>
      </c>
      <c r="E104" s="440" t="s">
        <v>11</v>
      </c>
      <c r="F104" s="425" t="s">
        <v>27</v>
      </c>
      <c r="G104" s="24">
        <v>8</v>
      </c>
      <c r="H104" s="424"/>
      <c r="I104" s="424"/>
      <c r="J104" s="24">
        <v>10</v>
      </c>
      <c r="K104" s="24">
        <v>10</v>
      </c>
      <c r="L104" s="24"/>
      <c r="M104" s="31"/>
      <c r="N104" s="31"/>
      <c r="O104" s="424"/>
      <c r="P104" s="424"/>
      <c r="Q104" s="424"/>
      <c r="R104" s="133"/>
      <c r="S104" s="133">
        <v>80</v>
      </c>
      <c r="T104" s="133">
        <f ca="1">IF(Data_Shelter_t[[#This Row],[Status]]="Open",Data_Shelter_t[[#This Row],[HH Covered]],0)</f>
        <v>80</v>
      </c>
      <c r="U104" s="425" t="s">
        <v>114</v>
      </c>
      <c r="V104" s="699" t="str">
        <f ca="1">IFERROR(OFFSET(Camp_List[Status],MATCH(Data_Shelter_t[[#This Row],[Camp Name]],Camp_List[Camp Name],0)-1,0,1,1),"")</f>
        <v>Open</v>
      </c>
      <c r="W104" s="643">
        <f ca="1">IFERROR(Data_Shelter_t[[#This Row],[HH Covered]]/OFFSET(Camp_List[HH],MATCH(Data_Shelter_t[[#This Row],[Camp Name]],Camp_List[Camp Name],0)-1,0,1,1),"")</f>
        <v>0.93023255813953487</v>
      </c>
      <c r="X104" s="31">
        <f>Data_Shelter_t[[#This Row],['# of Permanent House Planned (Target)]]+Data_Shelter_t[[#This Row],['# of Individual Shelter Planned (Target)]]</f>
        <v>0</v>
      </c>
      <c r="Y104" s="662">
        <f>Data_Shelter_t[[#This Row],['# of Permanent House Built]]+Data_Shelter_t[[#This Row],['# of Individual Shelter Built]]</f>
        <v>0</v>
      </c>
    </row>
    <row r="105" spans="1:25" s="5" customFormat="1" x14ac:dyDescent="0.25">
      <c r="A105" s="663">
        <v>41548</v>
      </c>
      <c r="B105" s="424" t="s">
        <v>663</v>
      </c>
      <c r="C105" s="424" t="s">
        <v>663</v>
      </c>
      <c r="D105" s="424" t="s">
        <v>7</v>
      </c>
      <c r="E105" s="426" t="s">
        <v>20</v>
      </c>
      <c r="F105" s="424" t="s">
        <v>520</v>
      </c>
      <c r="G105" s="31">
        <v>1</v>
      </c>
      <c r="H105" s="424"/>
      <c r="I105" s="424"/>
      <c r="J105" s="31"/>
      <c r="K105" s="31"/>
      <c r="L105" s="31"/>
      <c r="M105" s="31">
        <v>25</v>
      </c>
      <c r="N105" s="31">
        <v>25</v>
      </c>
      <c r="O105" s="424"/>
      <c r="P105" s="424"/>
      <c r="Q105" s="424"/>
      <c r="R105" s="133"/>
      <c r="S105" s="133">
        <v>25</v>
      </c>
      <c r="T105" s="133">
        <f ca="1">IF(Data_Shelter_t[[#This Row],[Status]]="Open",Data_Shelter_t[[#This Row],[HH Covered]],0)</f>
        <v>0</v>
      </c>
      <c r="U105" s="425" t="s">
        <v>977</v>
      </c>
      <c r="V105" s="699" t="str">
        <f ca="1">IFERROR(OFFSET(Camp_List[Status],MATCH(Data_Shelter_t[[#This Row],[Camp Name]],Camp_List[Camp Name],0)-1,0,1,1),"")</f>
        <v/>
      </c>
      <c r="W105" s="643" t="str">
        <f ca="1">IFERROR(Data_Shelter_t[[#This Row],[HH Covered]]/OFFSET(Camp_List[HH],MATCH(Data_Shelter_t[[#This Row],[Camp Name]],Camp_List[Camp Name],0)-1,0,1,1),"")</f>
        <v/>
      </c>
      <c r="X105" s="31">
        <f>Data_Shelter_t[[#This Row],['# of Permanent House Planned (Target)]]+Data_Shelter_t[[#This Row],['# of Individual Shelter Planned (Target)]]</f>
        <v>25</v>
      </c>
      <c r="Y105" s="662">
        <f>Data_Shelter_t[[#This Row],['# of Permanent House Built]]+Data_Shelter_t[[#This Row],['# of Individual Shelter Built]]</f>
        <v>25</v>
      </c>
    </row>
    <row r="106" spans="1:25" s="5" customFormat="1" x14ac:dyDescent="0.25">
      <c r="A106" s="663">
        <v>41548</v>
      </c>
      <c r="B106" s="424" t="s">
        <v>455</v>
      </c>
      <c r="C106" s="424" t="s">
        <v>455</v>
      </c>
      <c r="D106" s="424" t="s">
        <v>7</v>
      </c>
      <c r="E106" s="426" t="s">
        <v>20</v>
      </c>
      <c r="F106" s="424" t="s">
        <v>102</v>
      </c>
      <c r="G106" s="31">
        <v>1</v>
      </c>
      <c r="H106" s="424"/>
      <c r="I106" s="424"/>
      <c r="J106" s="31"/>
      <c r="K106" s="31"/>
      <c r="L106" s="31"/>
      <c r="M106" s="31">
        <v>25</v>
      </c>
      <c r="N106" s="31">
        <v>25</v>
      </c>
      <c r="O106" s="424"/>
      <c r="P106" s="424"/>
      <c r="Q106" s="424"/>
      <c r="R106" s="133"/>
      <c r="S106" s="133">
        <v>25</v>
      </c>
      <c r="T106" s="133">
        <f ca="1">IF(Data_Shelter_t[[#This Row],[Status]]="Open",Data_Shelter_t[[#This Row],[HH Covered]],0)</f>
        <v>0</v>
      </c>
      <c r="U106" s="425" t="s">
        <v>191</v>
      </c>
      <c r="V106" s="699" t="str">
        <f ca="1">IFERROR(OFFSET(Camp_List[Status],MATCH(Data_Shelter_t[[#This Row],[Camp Name]],Camp_List[Camp Name],0)-1,0,1,1),"")</f>
        <v>Close</v>
      </c>
      <c r="W106" s="643" t="str">
        <f ca="1">IFERROR(Data_Shelter_t[[#This Row],[HH Covered]]/OFFSET(Camp_List[HH],MATCH(Data_Shelter_t[[#This Row],[Camp Name]],Camp_List[Camp Name],0)-1,0,1,1),"")</f>
        <v/>
      </c>
      <c r="X106" s="31">
        <f>Data_Shelter_t[[#This Row],['# of Permanent House Planned (Target)]]+Data_Shelter_t[[#This Row],['# of Individual Shelter Planned (Target)]]</f>
        <v>25</v>
      </c>
      <c r="Y106" s="662">
        <f>Data_Shelter_t[[#This Row],['# of Permanent House Built]]+Data_Shelter_t[[#This Row],['# of Individual Shelter Built]]</f>
        <v>25</v>
      </c>
    </row>
    <row r="107" spans="1:25" s="5" customFormat="1" x14ac:dyDescent="0.25">
      <c r="A107" s="663">
        <v>41548</v>
      </c>
      <c r="B107" s="424" t="s">
        <v>291</v>
      </c>
      <c r="C107" s="424" t="s">
        <v>291</v>
      </c>
      <c r="D107" s="424" t="s">
        <v>7</v>
      </c>
      <c r="E107" s="426" t="s">
        <v>19</v>
      </c>
      <c r="F107" s="424" t="s">
        <v>67</v>
      </c>
      <c r="G107" s="31">
        <v>8</v>
      </c>
      <c r="H107" s="424"/>
      <c r="I107" s="424"/>
      <c r="J107" s="31">
        <v>27</v>
      </c>
      <c r="K107" s="31">
        <v>27</v>
      </c>
      <c r="L107" s="31"/>
      <c r="M107" s="31"/>
      <c r="N107" s="31"/>
      <c r="O107" s="424"/>
      <c r="P107" s="424"/>
      <c r="Q107" s="424"/>
      <c r="R107" s="133"/>
      <c r="S107" s="133">
        <v>216</v>
      </c>
      <c r="T107" s="133">
        <f ca="1">IF(Data_Shelter_t[[#This Row],[Status]]="Open",Data_Shelter_t[[#This Row],[HH Covered]],0)</f>
        <v>216</v>
      </c>
      <c r="U107" s="425" t="s">
        <v>156</v>
      </c>
      <c r="V107" s="699" t="str">
        <f ca="1">IFERROR(OFFSET(Camp_List[Status],MATCH(Data_Shelter_t[[#This Row],[Camp Name]],Camp_List[Camp Name],0)-1,0,1,1),"")</f>
        <v>Open</v>
      </c>
      <c r="W107" s="643">
        <f ca="1">IFERROR(Data_Shelter_t[[#This Row],[HH Covered]]/OFFSET(Camp_List[HH],MATCH(Data_Shelter_t[[#This Row],[Camp Name]],Camp_List[Camp Name],0)-1,0,1,1),"")</f>
        <v>8.8669950738916259E-2</v>
      </c>
      <c r="X107" s="31">
        <f>Data_Shelter_t[[#This Row],['# of Permanent House Planned (Target)]]+Data_Shelter_t[[#This Row],['# of Individual Shelter Planned (Target)]]</f>
        <v>0</v>
      </c>
      <c r="Y107" s="662">
        <f>Data_Shelter_t[[#This Row],['# of Permanent House Built]]+Data_Shelter_t[[#This Row],['# of Individual Shelter Built]]</f>
        <v>0</v>
      </c>
    </row>
    <row r="108" spans="1:25" s="5" customFormat="1" x14ac:dyDescent="0.25">
      <c r="A108" s="663">
        <v>41548</v>
      </c>
      <c r="B108" s="424" t="s">
        <v>296</v>
      </c>
      <c r="C108" s="424" t="s">
        <v>296</v>
      </c>
      <c r="D108" s="424" t="s">
        <v>7</v>
      </c>
      <c r="E108" s="426" t="s">
        <v>19</v>
      </c>
      <c r="F108" s="424" t="s">
        <v>67</v>
      </c>
      <c r="G108" s="31">
        <v>10</v>
      </c>
      <c r="H108" s="424"/>
      <c r="I108" s="424"/>
      <c r="J108" s="31">
        <v>63</v>
      </c>
      <c r="K108" s="31">
        <v>63</v>
      </c>
      <c r="L108" s="31"/>
      <c r="M108" s="31"/>
      <c r="N108" s="31"/>
      <c r="O108" s="424"/>
      <c r="P108" s="424"/>
      <c r="Q108" s="424"/>
      <c r="R108" s="133"/>
      <c r="S108" s="133">
        <v>630</v>
      </c>
      <c r="T108" s="133">
        <f ca="1">IF(Data_Shelter_t[[#This Row],[Status]]="Open",Data_Shelter_t[[#This Row],[HH Covered]],0)</f>
        <v>630</v>
      </c>
      <c r="U108" s="425" t="s">
        <v>156</v>
      </c>
      <c r="V108" s="699" t="str">
        <f ca="1">IFERROR(OFFSET(Camp_List[Status],MATCH(Data_Shelter_t[[#This Row],[Camp Name]],Camp_List[Camp Name],0)-1,0,1,1),"")</f>
        <v>Open</v>
      </c>
      <c r="W108" s="643">
        <f ca="1">IFERROR(Data_Shelter_t[[#This Row],[HH Covered]]/OFFSET(Camp_List[HH],MATCH(Data_Shelter_t[[#This Row],[Camp Name]],Camp_List[Camp Name],0)-1,0,1,1),"")</f>
        <v>0.25862068965517243</v>
      </c>
      <c r="X108" s="31">
        <f>Data_Shelter_t[[#This Row],['# of Permanent House Planned (Target)]]+Data_Shelter_t[[#This Row],['# of Individual Shelter Planned (Target)]]</f>
        <v>0</v>
      </c>
      <c r="Y108" s="662">
        <f>Data_Shelter_t[[#This Row],['# of Permanent House Built]]+Data_Shelter_t[[#This Row],['# of Individual Shelter Built]]</f>
        <v>0</v>
      </c>
    </row>
    <row r="109" spans="1:25" s="5" customFormat="1" x14ac:dyDescent="0.25">
      <c r="A109" s="663">
        <v>41548</v>
      </c>
      <c r="B109" s="424" t="s">
        <v>300</v>
      </c>
      <c r="C109" s="424" t="s">
        <v>300</v>
      </c>
      <c r="D109" s="424" t="s">
        <v>7</v>
      </c>
      <c r="E109" s="426" t="s">
        <v>19</v>
      </c>
      <c r="F109" s="424" t="s">
        <v>67</v>
      </c>
      <c r="G109" s="31">
        <v>8</v>
      </c>
      <c r="H109" s="424"/>
      <c r="I109" s="424"/>
      <c r="J109" s="31">
        <v>40</v>
      </c>
      <c r="K109" s="31">
        <v>40</v>
      </c>
      <c r="L109" s="31"/>
      <c r="M109" s="31"/>
      <c r="N109" s="31"/>
      <c r="O109" s="424"/>
      <c r="P109" s="424"/>
      <c r="Q109" s="424"/>
      <c r="R109" s="133"/>
      <c r="S109" s="133">
        <v>320</v>
      </c>
      <c r="T109" s="133">
        <f ca="1">IF(Data_Shelter_t[[#This Row],[Status]]="Open",Data_Shelter_t[[#This Row],[HH Covered]],0)</f>
        <v>320</v>
      </c>
      <c r="U109" s="425" t="s">
        <v>156</v>
      </c>
      <c r="V109" s="699" t="str">
        <f ca="1">IFERROR(OFFSET(Camp_List[Status],MATCH(Data_Shelter_t[[#This Row],[Camp Name]],Camp_List[Camp Name],0)-1,0,1,1),"")</f>
        <v>Open</v>
      </c>
      <c r="W109" s="643">
        <f ca="1">IFERROR(Data_Shelter_t[[#This Row],[HH Covered]]/OFFSET(Camp_List[HH],MATCH(Data_Shelter_t[[#This Row],[Camp Name]],Camp_List[Camp Name],0)-1,0,1,1),"")</f>
        <v>0.13136288998357964</v>
      </c>
      <c r="X109" s="31">
        <f>Data_Shelter_t[[#This Row],['# of Permanent House Planned (Target)]]+Data_Shelter_t[[#This Row],['# of Individual Shelter Planned (Target)]]</f>
        <v>0</v>
      </c>
      <c r="Y109" s="662">
        <f>Data_Shelter_t[[#This Row],['# of Permanent House Built]]+Data_Shelter_t[[#This Row],['# of Individual Shelter Built]]</f>
        <v>0</v>
      </c>
    </row>
    <row r="110" spans="1:25" s="5" customFormat="1" x14ac:dyDescent="0.25">
      <c r="A110" s="663">
        <v>41548</v>
      </c>
      <c r="B110" s="424" t="s">
        <v>297</v>
      </c>
      <c r="C110" s="424" t="s">
        <v>297</v>
      </c>
      <c r="D110" s="424" t="s">
        <v>7</v>
      </c>
      <c r="E110" s="426" t="s">
        <v>19</v>
      </c>
      <c r="F110" s="424" t="s">
        <v>67</v>
      </c>
      <c r="G110" s="31">
        <v>8</v>
      </c>
      <c r="H110" s="424"/>
      <c r="I110" s="424"/>
      <c r="J110" s="31">
        <v>60</v>
      </c>
      <c r="K110" s="31">
        <v>60</v>
      </c>
      <c r="L110" s="31"/>
      <c r="M110" s="31"/>
      <c r="N110" s="31"/>
      <c r="O110" s="424"/>
      <c r="P110" s="424"/>
      <c r="Q110" s="424"/>
      <c r="R110" s="133"/>
      <c r="S110" s="133">
        <v>480</v>
      </c>
      <c r="T110" s="133">
        <f ca="1">IF(Data_Shelter_t[[#This Row],[Status]]="Open",Data_Shelter_t[[#This Row],[HH Covered]],0)</f>
        <v>480</v>
      </c>
      <c r="U110" s="425" t="s">
        <v>156</v>
      </c>
      <c r="V110" s="699" t="str">
        <f ca="1">IFERROR(OFFSET(Camp_List[Status],MATCH(Data_Shelter_t[[#This Row],[Camp Name]],Camp_List[Camp Name],0)-1,0,1,1),"")</f>
        <v>Open</v>
      </c>
      <c r="W110" s="643">
        <f ca="1">IFERROR(Data_Shelter_t[[#This Row],[HH Covered]]/OFFSET(Camp_List[HH],MATCH(Data_Shelter_t[[#This Row],[Camp Name]],Camp_List[Camp Name],0)-1,0,1,1),"")</f>
        <v>0.19704433497536947</v>
      </c>
      <c r="X110" s="31">
        <f>Data_Shelter_t[[#This Row],['# of Permanent House Planned (Target)]]+Data_Shelter_t[[#This Row],['# of Individual Shelter Planned (Target)]]</f>
        <v>0</v>
      </c>
      <c r="Y110" s="662">
        <f>Data_Shelter_t[[#This Row],['# of Permanent House Built]]+Data_Shelter_t[[#This Row],['# of Individual Shelter Built]]</f>
        <v>0</v>
      </c>
    </row>
    <row r="111" spans="1:25" s="5" customFormat="1" x14ac:dyDescent="0.25">
      <c r="A111" s="663">
        <v>41548</v>
      </c>
      <c r="B111" s="424" t="s">
        <v>642</v>
      </c>
      <c r="C111" s="424" t="s">
        <v>642</v>
      </c>
      <c r="D111" s="424" t="s">
        <v>7</v>
      </c>
      <c r="E111" s="426" t="s">
        <v>19</v>
      </c>
      <c r="F111" s="424" t="s">
        <v>67</v>
      </c>
      <c r="G111" s="31">
        <v>10</v>
      </c>
      <c r="H111" s="424"/>
      <c r="I111" s="424"/>
      <c r="J111" s="31">
        <v>77</v>
      </c>
      <c r="K111" s="31">
        <v>77</v>
      </c>
      <c r="L111" s="24"/>
      <c r="M111" s="31"/>
      <c r="N111" s="31"/>
      <c r="O111" s="424"/>
      <c r="P111" s="424"/>
      <c r="Q111" s="424"/>
      <c r="R111" s="133"/>
      <c r="S111" s="133">
        <v>770</v>
      </c>
      <c r="T111" s="133">
        <f ca="1">IF(Data_Shelter_t[[#This Row],[Status]]="Open",Data_Shelter_t[[#This Row],[HH Covered]],0)</f>
        <v>770</v>
      </c>
      <c r="U111" s="425" t="s">
        <v>156</v>
      </c>
      <c r="V111" s="699" t="str">
        <f ca="1">IFERROR(OFFSET(Camp_List[Status],MATCH(Data_Shelter_t[[#This Row],[Camp Name]],Camp_List[Camp Name],0)-1,0,1,1),"")</f>
        <v>Open</v>
      </c>
      <c r="W111" s="643">
        <f ca="1">IFERROR(Data_Shelter_t[[#This Row],[HH Covered]]/OFFSET(Camp_List[HH],MATCH(Data_Shelter_t[[#This Row],[Camp Name]],Camp_List[Camp Name],0)-1,0,1,1),"")</f>
        <v>0.31609195402298851</v>
      </c>
      <c r="X111" s="31">
        <f>Data_Shelter_t[[#This Row],['# of Permanent House Planned (Target)]]+Data_Shelter_t[[#This Row],['# of Individual Shelter Planned (Target)]]</f>
        <v>0</v>
      </c>
      <c r="Y111" s="662">
        <f>Data_Shelter_t[[#This Row],['# of Permanent House Built]]+Data_Shelter_t[[#This Row],['# of Individual Shelter Built]]</f>
        <v>0</v>
      </c>
    </row>
    <row r="112" spans="1:25" s="5" customFormat="1" x14ac:dyDescent="0.25">
      <c r="A112" s="663">
        <v>41548</v>
      </c>
      <c r="B112" s="424" t="s">
        <v>288</v>
      </c>
      <c r="C112" s="424" t="s">
        <v>288</v>
      </c>
      <c r="D112" s="424" t="s">
        <v>7</v>
      </c>
      <c r="E112" s="426" t="s">
        <v>19</v>
      </c>
      <c r="F112" s="424" t="s">
        <v>67</v>
      </c>
      <c r="G112" s="31">
        <v>8</v>
      </c>
      <c r="H112" s="424"/>
      <c r="I112" s="424"/>
      <c r="J112" s="31">
        <v>33</v>
      </c>
      <c r="K112" s="31">
        <v>33</v>
      </c>
      <c r="L112" s="31"/>
      <c r="M112" s="31"/>
      <c r="N112" s="31"/>
      <c r="O112" s="424"/>
      <c r="P112" s="424"/>
      <c r="Q112" s="424"/>
      <c r="R112" s="133"/>
      <c r="S112" s="133">
        <v>264</v>
      </c>
      <c r="T112" s="133">
        <f ca="1">IF(Data_Shelter_t[[#This Row],[Status]]="Open",Data_Shelter_t[[#This Row],[HH Covered]],0)</f>
        <v>264</v>
      </c>
      <c r="U112" s="425" t="s">
        <v>156</v>
      </c>
      <c r="V112" s="699" t="str">
        <f ca="1">IFERROR(OFFSET(Camp_List[Status],MATCH(Data_Shelter_t[[#This Row],[Camp Name]],Camp_List[Camp Name],0)-1,0,1,1),"")</f>
        <v>Open</v>
      </c>
      <c r="W112" s="643">
        <f ca="1">IFERROR(Data_Shelter_t[[#This Row],[HH Covered]]/OFFSET(Camp_List[HH],MATCH(Data_Shelter_t[[#This Row],[Camp Name]],Camp_List[Camp Name],0)-1,0,1,1),"")</f>
        <v>0.10837438423645321</v>
      </c>
      <c r="X112" s="31">
        <f>Data_Shelter_t[[#This Row],['# of Permanent House Planned (Target)]]+Data_Shelter_t[[#This Row],['# of Individual Shelter Planned (Target)]]</f>
        <v>0</v>
      </c>
      <c r="Y112" s="662">
        <f>Data_Shelter_t[[#This Row],['# of Permanent House Built]]+Data_Shelter_t[[#This Row],['# of Individual Shelter Built]]</f>
        <v>0</v>
      </c>
    </row>
    <row r="113" spans="1:25" s="5" customFormat="1" x14ac:dyDescent="0.25">
      <c r="A113" s="663">
        <v>41548</v>
      </c>
      <c r="B113" s="424" t="s">
        <v>296</v>
      </c>
      <c r="C113" s="424" t="s">
        <v>296</v>
      </c>
      <c r="D113" s="424" t="s">
        <v>7</v>
      </c>
      <c r="E113" s="426" t="s">
        <v>19</v>
      </c>
      <c r="F113" s="424" t="s">
        <v>78</v>
      </c>
      <c r="G113" s="31">
        <v>10</v>
      </c>
      <c r="H113" s="424"/>
      <c r="I113" s="424"/>
      <c r="J113" s="31">
        <v>22</v>
      </c>
      <c r="K113" s="31">
        <v>22</v>
      </c>
      <c r="L113" s="31"/>
      <c r="M113" s="31"/>
      <c r="N113" s="31"/>
      <c r="O113" s="424"/>
      <c r="P113" s="424"/>
      <c r="Q113" s="424"/>
      <c r="R113" s="133"/>
      <c r="S113" s="133">
        <v>220</v>
      </c>
      <c r="T113" s="133">
        <f ca="1">IF(Data_Shelter_t[[#This Row],[Status]]="Open",Data_Shelter_t[[#This Row],[HH Covered]],0)</f>
        <v>220</v>
      </c>
      <c r="U113" s="425" t="s">
        <v>167</v>
      </c>
      <c r="V113" s="699" t="str">
        <f ca="1">IFERROR(OFFSET(Camp_List[Status],MATCH(Data_Shelter_t[[#This Row],[Camp Name]],Camp_List[Camp Name],0)-1,0,1,1),"")</f>
        <v>Open</v>
      </c>
      <c r="W113" s="643">
        <f ca="1">IFERROR(Data_Shelter_t[[#This Row],[HH Covered]]/OFFSET(Camp_List[HH],MATCH(Data_Shelter_t[[#This Row],[Camp Name]],Camp_List[Camp Name],0)-1,0,1,1),"")</f>
        <v>3.0555555555555554</v>
      </c>
      <c r="X113" s="31">
        <f>Data_Shelter_t[[#This Row],['# of Permanent House Planned (Target)]]+Data_Shelter_t[[#This Row],['# of Individual Shelter Planned (Target)]]</f>
        <v>0</v>
      </c>
      <c r="Y113" s="662">
        <f>Data_Shelter_t[[#This Row],['# of Permanent House Built]]+Data_Shelter_t[[#This Row],['# of Individual Shelter Built]]</f>
        <v>0</v>
      </c>
    </row>
    <row r="114" spans="1:25" s="5" customFormat="1" x14ac:dyDescent="0.25">
      <c r="A114" s="663">
        <v>41548</v>
      </c>
      <c r="B114" s="424" t="s">
        <v>288</v>
      </c>
      <c r="C114" s="424" t="s">
        <v>288</v>
      </c>
      <c r="D114" s="424" t="s">
        <v>7</v>
      </c>
      <c r="E114" s="426" t="s">
        <v>19</v>
      </c>
      <c r="F114" s="424" t="s">
        <v>248</v>
      </c>
      <c r="G114" s="31">
        <v>8</v>
      </c>
      <c r="H114" s="424"/>
      <c r="I114" s="424"/>
      <c r="J114" s="31">
        <v>22</v>
      </c>
      <c r="K114" s="31">
        <v>22</v>
      </c>
      <c r="L114" s="31"/>
      <c r="M114" s="31"/>
      <c r="N114" s="31"/>
      <c r="O114" s="424"/>
      <c r="P114" s="424"/>
      <c r="Q114" s="424"/>
      <c r="R114" s="133"/>
      <c r="S114" s="133">
        <v>176</v>
      </c>
      <c r="T114" s="133">
        <f ca="1">IF(Data_Shelter_t[[#This Row],[Status]]="Open",Data_Shelter_t[[#This Row],[HH Covered]],0)</f>
        <v>176</v>
      </c>
      <c r="U114" s="425" t="s">
        <v>285</v>
      </c>
      <c r="V114" s="699" t="str">
        <f ca="1">IFERROR(OFFSET(Camp_List[Status],MATCH(Data_Shelter_t[[#This Row],[Camp Name]],Camp_List[Camp Name],0)-1,0,1,1),"")</f>
        <v>Open</v>
      </c>
      <c r="W114" s="643">
        <f ca="1">IFERROR(Data_Shelter_t[[#This Row],[HH Covered]]/OFFSET(Camp_List[HH],MATCH(Data_Shelter_t[[#This Row],[Camp Name]],Camp_List[Camp Name],0)-1,0,1,1),"")</f>
        <v>1.1655629139072847</v>
      </c>
      <c r="X114" s="31">
        <f>Data_Shelter_t[[#This Row],['# of Permanent House Planned (Target)]]+Data_Shelter_t[[#This Row],['# of Individual Shelter Planned (Target)]]</f>
        <v>0</v>
      </c>
      <c r="Y114" s="662">
        <f>Data_Shelter_t[[#This Row],['# of Permanent House Built]]+Data_Shelter_t[[#This Row],['# of Individual Shelter Built]]</f>
        <v>0</v>
      </c>
    </row>
    <row r="115" spans="1:25" s="5" customFormat="1" x14ac:dyDescent="0.25">
      <c r="A115" s="663">
        <v>41548</v>
      </c>
      <c r="B115" s="424" t="s">
        <v>296</v>
      </c>
      <c r="C115" s="424" t="s">
        <v>296</v>
      </c>
      <c r="D115" s="424" t="s">
        <v>7</v>
      </c>
      <c r="E115" s="426" t="s">
        <v>15</v>
      </c>
      <c r="F115" s="424" t="s">
        <v>53</v>
      </c>
      <c r="G115" s="31">
        <v>8</v>
      </c>
      <c r="H115" s="424"/>
      <c r="I115" s="424"/>
      <c r="J115" s="31">
        <v>18</v>
      </c>
      <c r="K115" s="31">
        <v>18</v>
      </c>
      <c r="L115" s="31"/>
      <c r="M115" s="31"/>
      <c r="N115" s="31"/>
      <c r="O115" s="424"/>
      <c r="P115" s="424"/>
      <c r="Q115" s="424"/>
      <c r="R115" s="133"/>
      <c r="S115" s="133">
        <v>144</v>
      </c>
      <c r="T115" s="133">
        <f ca="1">IF(Data_Shelter_t[[#This Row],[Status]]="Open",Data_Shelter_t[[#This Row],[HH Covered]],0)</f>
        <v>144</v>
      </c>
      <c r="U115" s="425" t="s">
        <v>140</v>
      </c>
      <c r="V115" s="699" t="str">
        <f ca="1">IFERROR(OFFSET(Camp_List[Status],MATCH(Data_Shelter_t[[#This Row],[Camp Name]],Camp_List[Camp Name],0)-1,0,1,1),"")</f>
        <v>Open</v>
      </c>
      <c r="W115" s="643">
        <f ca="1">IFERROR(Data_Shelter_t[[#This Row],[HH Covered]]/OFFSET(Camp_List[HH],MATCH(Data_Shelter_t[[#This Row],[Camp Name]],Camp_List[Camp Name],0)-1,0,1,1),"")</f>
        <v>1</v>
      </c>
      <c r="X115" s="31">
        <f>Data_Shelter_t[[#This Row],['# of Permanent House Planned (Target)]]+Data_Shelter_t[[#This Row],['# of Individual Shelter Planned (Target)]]</f>
        <v>0</v>
      </c>
      <c r="Y115" s="662">
        <f>Data_Shelter_t[[#This Row],['# of Permanent House Built]]+Data_Shelter_t[[#This Row],['# of Individual Shelter Built]]</f>
        <v>0</v>
      </c>
    </row>
    <row r="116" spans="1:25" s="5" customFormat="1" x14ac:dyDescent="0.25">
      <c r="A116" s="663">
        <v>41548</v>
      </c>
      <c r="B116" s="424" t="s">
        <v>664</v>
      </c>
      <c r="C116" s="424" t="s">
        <v>664</v>
      </c>
      <c r="D116" s="424" t="s">
        <v>7</v>
      </c>
      <c r="E116" s="426" t="s">
        <v>20</v>
      </c>
      <c r="F116" s="424" t="s">
        <v>100</v>
      </c>
      <c r="G116" s="31">
        <v>1</v>
      </c>
      <c r="H116" s="424"/>
      <c r="I116" s="424"/>
      <c r="J116" s="31"/>
      <c r="K116" s="31"/>
      <c r="L116" s="31"/>
      <c r="M116" s="31">
        <v>36</v>
      </c>
      <c r="N116" s="31">
        <v>36</v>
      </c>
      <c r="O116" s="424"/>
      <c r="P116" s="424"/>
      <c r="Q116" s="424"/>
      <c r="R116" s="133"/>
      <c r="S116" s="133">
        <v>36</v>
      </c>
      <c r="T116" s="133">
        <f ca="1">IF(Data_Shelter_t[[#This Row],[Status]]="Open",Data_Shelter_t[[#This Row],[HH Covered]],0)</f>
        <v>0</v>
      </c>
      <c r="U116" s="425" t="s">
        <v>189</v>
      </c>
      <c r="V116" s="699" t="str">
        <f ca="1">IFERROR(OFFSET(Camp_List[Status],MATCH(Data_Shelter_t[[#This Row],[Camp Name]],Camp_List[Camp Name],0)-1,0,1,1),"")</f>
        <v>Close</v>
      </c>
      <c r="W116" s="643" t="str">
        <f ca="1">IFERROR(Data_Shelter_t[[#This Row],[HH Covered]]/OFFSET(Camp_List[HH],MATCH(Data_Shelter_t[[#This Row],[Camp Name]],Camp_List[Camp Name],0)-1,0,1,1),"")</f>
        <v/>
      </c>
      <c r="X116" s="31">
        <f>Data_Shelter_t[[#This Row],['# of Permanent House Planned (Target)]]+Data_Shelter_t[[#This Row],['# of Individual Shelter Planned (Target)]]</f>
        <v>36</v>
      </c>
      <c r="Y116" s="662">
        <f>Data_Shelter_t[[#This Row],['# of Permanent House Built]]+Data_Shelter_t[[#This Row],['# of Individual Shelter Built]]</f>
        <v>36</v>
      </c>
    </row>
    <row r="117" spans="1:25" s="5" customFormat="1" x14ac:dyDescent="0.25">
      <c r="A117" s="663">
        <v>41548</v>
      </c>
      <c r="B117" s="424" t="s">
        <v>291</v>
      </c>
      <c r="C117" s="424" t="s">
        <v>291</v>
      </c>
      <c r="D117" s="424" t="s">
        <v>7</v>
      </c>
      <c r="E117" s="426" t="s">
        <v>14</v>
      </c>
      <c r="F117" s="424" t="s">
        <v>43</v>
      </c>
      <c r="G117" s="31">
        <v>8</v>
      </c>
      <c r="H117" s="424"/>
      <c r="I117" s="424"/>
      <c r="J117" s="31">
        <v>106</v>
      </c>
      <c r="K117" s="31">
        <v>106</v>
      </c>
      <c r="L117" s="31"/>
      <c r="M117" s="31"/>
      <c r="N117" s="31"/>
      <c r="O117" s="424"/>
      <c r="P117" s="424"/>
      <c r="Q117" s="424"/>
      <c r="R117" s="133"/>
      <c r="S117" s="133">
        <v>848</v>
      </c>
      <c r="T117" s="133">
        <f ca="1">IF(Data_Shelter_t[[#This Row],[Status]]="Open",Data_Shelter_t[[#This Row],[HH Covered]],0)</f>
        <v>848</v>
      </c>
      <c r="U117" s="425" t="s">
        <v>130</v>
      </c>
      <c r="V117" s="699" t="str">
        <f ca="1">IFERROR(OFFSET(Camp_List[Status],MATCH(Data_Shelter_t[[#This Row],[Camp Name]],Camp_List[Camp Name],0)-1,0,1,1),"")</f>
        <v>Open</v>
      </c>
      <c r="W117" s="643">
        <f ca="1">IFERROR(Data_Shelter_t[[#This Row],[HH Covered]]/OFFSET(Camp_List[HH],MATCH(Data_Shelter_t[[#This Row],[Camp Name]],Camp_List[Camp Name],0)-1,0,1,1),"")</f>
        <v>1.0680100755667505</v>
      </c>
      <c r="X117" s="31">
        <f>Data_Shelter_t[[#This Row],['# of Permanent House Planned (Target)]]+Data_Shelter_t[[#This Row],['# of Individual Shelter Planned (Target)]]</f>
        <v>0</v>
      </c>
      <c r="Y117" s="662">
        <f>Data_Shelter_t[[#This Row],['# of Permanent House Built]]+Data_Shelter_t[[#This Row],['# of Individual Shelter Built]]</f>
        <v>0</v>
      </c>
    </row>
    <row r="118" spans="1:25" s="5" customFormat="1" x14ac:dyDescent="0.25">
      <c r="A118" s="663">
        <v>41548</v>
      </c>
      <c r="B118" s="424" t="s">
        <v>296</v>
      </c>
      <c r="C118" s="424" t="s">
        <v>296</v>
      </c>
      <c r="D118" s="424" t="s">
        <v>7</v>
      </c>
      <c r="E118" s="426" t="s">
        <v>15</v>
      </c>
      <c r="F118" s="424" t="s">
        <v>45</v>
      </c>
      <c r="G118" s="31">
        <v>8</v>
      </c>
      <c r="H118" s="424"/>
      <c r="I118" s="424"/>
      <c r="J118" s="31">
        <v>8</v>
      </c>
      <c r="K118" s="31">
        <v>8</v>
      </c>
      <c r="L118" s="31"/>
      <c r="M118" s="31"/>
      <c r="N118" s="31"/>
      <c r="O118" s="424"/>
      <c r="P118" s="424"/>
      <c r="Q118" s="424"/>
      <c r="R118" s="133"/>
      <c r="S118" s="133">
        <v>64</v>
      </c>
      <c r="T118" s="133">
        <f ca="1">IF(Data_Shelter_t[[#This Row],[Status]]="Open",Data_Shelter_t[[#This Row],[HH Covered]],0)</f>
        <v>64</v>
      </c>
      <c r="U118" s="425" t="s">
        <v>132</v>
      </c>
      <c r="V118" s="699" t="str">
        <f ca="1">IFERROR(OFFSET(Camp_List[Status],MATCH(Data_Shelter_t[[#This Row],[Camp Name]],Camp_List[Camp Name],0)-1,0,1,1),"")</f>
        <v>Open</v>
      </c>
      <c r="W118" s="643">
        <f ca="1">IFERROR(Data_Shelter_t[[#This Row],[HH Covered]]/OFFSET(Camp_List[HH],MATCH(Data_Shelter_t[[#This Row],[Camp Name]],Camp_List[Camp Name],0)-1,0,1,1),"")</f>
        <v>1.0158730158730158</v>
      </c>
      <c r="X118" s="31">
        <f>Data_Shelter_t[[#This Row],['# of Permanent House Planned (Target)]]+Data_Shelter_t[[#This Row],['# of Individual Shelter Planned (Target)]]</f>
        <v>0</v>
      </c>
      <c r="Y118" s="662">
        <f>Data_Shelter_t[[#This Row],['# of Permanent House Built]]+Data_Shelter_t[[#This Row],['# of Individual Shelter Built]]</f>
        <v>0</v>
      </c>
    </row>
    <row r="119" spans="1:25" s="5" customFormat="1" x14ac:dyDescent="0.25">
      <c r="A119" s="663">
        <v>41548</v>
      </c>
      <c r="B119" s="424" t="s">
        <v>288</v>
      </c>
      <c r="C119" s="424" t="s">
        <v>288</v>
      </c>
      <c r="D119" s="424" t="s">
        <v>7</v>
      </c>
      <c r="E119" s="426" t="s">
        <v>915</v>
      </c>
      <c r="F119" s="424" t="s">
        <v>38</v>
      </c>
      <c r="G119" s="31">
        <v>8</v>
      </c>
      <c r="H119" s="424"/>
      <c r="I119" s="424"/>
      <c r="J119" s="31">
        <v>89</v>
      </c>
      <c r="K119" s="31">
        <v>89</v>
      </c>
      <c r="L119" s="31"/>
      <c r="M119" s="31"/>
      <c r="N119" s="31"/>
      <c r="O119" s="424"/>
      <c r="P119" s="424"/>
      <c r="Q119" s="424"/>
      <c r="R119" s="133"/>
      <c r="S119" s="133">
        <v>712</v>
      </c>
      <c r="T119" s="133">
        <f ca="1">IF(Data_Shelter_t[[#This Row],[Status]]="Open",Data_Shelter_t[[#This Row],[HH Covered]],0)</f>
        <v>712</v>
      </c>
      <c r="U119" s="425" t="s">
        <v>125</v>
      </c>
      <c r="V119" s="699" t="str">
        <f ca="1">IFERROR(OFFSET(Camp_List[Status],MATCH(Data_Shelter_t[[#This Row],[Camp Name]],Camp_List[Camp Name],0)-1,0,1,1),"")</f>
        <v>Open</v>
      </c>
      <c r="W119" s="643">
        <f ca="1">IFERROR(Data_Shelter_t[[#This Row],[HH Covered]]/OFFSET(Camp_List[HH],MATCH(Data_Shelter_t[[#This Row],[Camp Name]],Camp_List[Camp Name],0)-1,0,1,1),"")</f>
        <v>1.0439882697947214</v>
      </c>
      <c r="X119" s="31">
        <f>Data_Shelter_t[[#This Row],['# of Permanent House Planned (Target)]]+Data_Shelter_t[[#This Row],['# of Individual Shelter Planned (Target)]]</f>
        <v>0</v>
      </c>
      <c r="Y119" s="662">
        <f>Data_Shelter_t[[#This Row],['# of Permanent House Built]]+Data_Shelter_t[[#This Row],['# of Individual Shelter Built]]</f>
        <v>0</v>
      </c>
    </row>
    <row r="120" spans="1:25" s="5" customFormat="1" x14ac:dyDescent="0.25">
      <c r="A120" s="663">
        <v>41548</v>
      </c>
      <c r="B120" s="424" t="s">
        <v>296</v>
      </c>
      <c r="C120" s="424" t="s">
        <v>296</v>
      </c>
      <c r="D120" s="424" t="s">
        <v>7</v>
      </c>
      <c r="E120" s="426" t="s">
        <v>11</v>
      </c>
      <c r="F120" s="424" t="s">
        <v>26</v>
      </c>
      <c r="G120" s="31">
        <v>8</v>
      </c>
      <c r="H120" s="424"/>
      <c r="I120" s="424"/>
      <c r="J120" s="31">
        <v>14</v>
      </c>
      <c r="K120" s="31">
        <v>14</v>
      </c>
      <c r="L120" s="31"/>
      <c r="M120" s="31"/>
      <c r="N120" s="31"/>
      <c r="O120" s="424"/>
      <c r="P120" s="424"/>
      <c r="Q120" s="424"/>
      <c r="R120" s="133"/>
      <c r="S120" s="133">
        <v>112</v>
      </c>
      <c r="T120" s="133">
        <f ca="1">IF(Data_Shelter_t[[#This Row],[Status]]="Open",Data_Shelter_t[[#This Row],[HH Covered]],0)</f>
        <v>112</v>
      </c>
      <c r="U120" s="425" t="s">
        <v>113</v>
      </c>
      <c r="V120" s="699" t="str">
        <f ca="1">IFERROR(OFFSET(Camp_List[Status],MATCH(Data_Shelter_t[[#This Row],[Camp Name]],Camp_List[Camp Name],0)-1,0,1,1),"")</f>
        <v>Open</v>
      </c>
      <c r="W120" s="643">
        <f ca="1">IFERROR(Data_Shelter_t[[#This Row],[HH Covered]]/OFFSET(Camp_List[HH],MATCH(Data_Shelter_t[[#This Row],[Camp Name]],Camp_List[Camp Name],0)-1,0,1,1),"")</f>
        <v>0.55172413793103448</v>
      </c>
      <c r="X120" s="31">
        <f>Data_Shelter_t[[#This Row],['# of Permanent House Planned (Target)]]+Data_Shelter_t[[#This Row],['# of Individual Shelter Planned (Target)]]</f>
        <v>0</v>
      </c>
      <c r="Y120" s="662">
        <f>Data_Shelter_t[[#This Row],['# of Permanent House Built]]+Data_Shelter_t[[#This Row],['# of Individual Shelter Built]]</f>
        <v>0</v>
      </c>
    </row>
    <row r="121" spans="1:25" s="5" customFormat="1" x14ac:dyDescent="0.25">
      <c r="A121" s="663">
        <v>41548</v>
      </c>
      <c r="B121" s="424" t="s">
        <v>663</v>
      </c>
      <c r="C121" s="424" t="s">
        <v>663</v>
      </c>
      <c r="D121" s="424" t="s">
        <v>7</v>
      </c>
      <c r="E121" s="426" t="s">
        <v>20</v>
      </c>
      <c r="F121" s="424" t="s">
        <v>100</v>
      </c>
      <c r="G121" s="31">
        <v>1</v>
      </c>
      <c r="H121" s="424"/>
      <c r="I121" s="424"/>
      <c r="J121" s="31"/>
      <c r="K121" s="31"/>
      <c r="L121" s="31"/>
      <c r="M121" s="31">
        <v>36</v>
      </c>
      <c r="N121" s="31">
        <v>36</v>
      </c>
      <c r="O121" s="424"/>
      <c r="P121" s="424"/>
      <c r="Q121" s="424"/>
      <c r="R121" s="133"/>
      <c r="S121" s="133">
        <v>36</v>
      </c>
      <c r="T121" s="133">
        <f ca="1">IF(Data_Shelter_t[[#This Row],[Status]]="Open",Data_Shelter_t[[#This Row],[HH Covered]],0)</f>
        <v>0</v>
      </c>
      <c r="U121" s="425" t="s">
        <v>189</v>
      </c>
      <c r="V121" s="699" t="str">
        <f ca="1">IFERROR(OFFSET(Camp_List[Status],MATCH(Data_Shelter_t[[#This Row],[Camp Name]],Camp_List[Camp Name],0)-1,0,1,1),"")</f>
        <v>Close</v>
      </c>
      <c r="W121" s="643" t="str">
        <f ca="1">IFERROR(Data_Shelter_t[[#This Row],[HH Covered]]/OFFSET(Camp_List[HH],MATCH(Data_Shelter_t[[#This Row],[Camp Name]],Camp_List[Camp Name],0)-1,0,1,1),"")</f>
        <v/>
      </c>
      <c r="X121" s="24">
        <f>Data_Shelter_t[[#This Row],['# of Permanent House Planned (Target)]]+Data_Shelter_t[[#This Row],['# of Individual Shelter Planned (Target)]]</f>
        <v>36</v>
      </c>
      <c r="Y121" s="662">
        <f>Data_Shelter_t[[#This Row],['# of Permanent House Built]]+Data_Shelter_t[[#This Row],['# of Individual Shelter Built]]</f>
        <v>36</v>
      </c>
    </row>
    <row r="122" spans="1:25" s="5" customFormat="1" x14ac:dyDescent="0.25">
      <c r="A122" s="663">
        <v>41548</v>
      </c>
      <c r="B122" s="424" t="s">
        <v>664</v>
      </c>
      <c r="C122" s="424" t="s">
        <v>664</v>
      </c>
      <c r="D122" s="424" t="s">
        <v>7</v>
      </c>
      <c r="E122" s="426" t="s">
        <v>20</v>
      </c>
      <c r="F122" s="424" t="s">
        <v>98</v>
      </c>
      <c r="G122" s="31">
        <v>1</v>
      </c>
      <c r="H122" s="424"/>
      <c r="I122" s="424"/>
      <c r="J122" s="31"/>
      <c r="K122" s="31"/>
      <c r="L122" s="31"/>
      <c r="M122" s="31">
        <v>11</v>
      </c>
      <c r="N122" s="31">
        <v>11</v>
      </c>
      <c r="O122" s="424"/>
      <c r="P122" s="424"/>
      <c r="Q122" s="424"/>
      <c r="R122" s="133"/>
      <c r="S122" s="133">
        <v>11</v>
      </c>
      <c r="T122" s="133">
        <f ca="1">IF(Data_Shelter_t[[#This Row],[Status]]="Open",Data_Shelter_t[[#This Row],[HH Covered]],0)</f>
        <v>0</v>
      </c>
      <c r="U122" s="425" t="s">
        <v>187</v>
      </c>
      <c r="V122" s="699" t="str">
        <f ca="1">IFERROR(OFFSET(Camp_List[Status],MATCH(Data_Shelter_t[[#This Row],[Camp Name]],Camp_List[Camp Name],0)-1,0,1,1),"")</f>
        <v>Close</v>
      </c>
      <c r="W122" s="643" t="str">
        <f ca="1">IFERROR(Data_Shelter_t[[#This Row],[HH Covered]]/OFFSET(Camp_List[HH],MATCH(Data_Shelter_t[[#This Row],[Camp Name]],Camp_List[Camp Name],0)-1,0,1,1),"")</f>
        <v/>
      </c>
      <c r="X122" s="24">
        <f>Data_Shelter_t[[#This Row],['# of Permanent House Planned (Target)]]+Data_Shelter_t[[#This Row],['# of Individual Shelter Planned (Target)]]</f>
        <v>11</v>
      </c>
      <c r="Y122" s="662">
        <f>Data_Shelter_t[[#This Row],['# of Permanent House Built]]+Data_Shelter_t[[#This Row],['# of Individual Shelter Built]]</f>
        <v>11</v>
      </c>
    </row>
    <row r="123" spans="1:25" s="5" customFormat="1" x14ac:dyDescent="0.25">
      <c r="A123" s="664">
        <v>41548</v>
      </c>
      <c r="B123" s="425" t="s">
        <v>296</v>
      </c>
      <c r="C123" s="425" t="s">
        <v>296</v>
      </c>
      <c r="D123" s="425" t="s">
        <v>7</v>
      </c>
      <c r="E123" s="440" t="s">
        <v>11</v>
      </c>
      <c r="F123" s="425" t="s">
        <v>29</v>
      </c>
      <c r="G123" s="24">
        <v>8</v>
      </c>
      <c r="H123" s="425"/>
      <c r="I123" s="425"/>
      <c r="J123" s="24">
        <v>20</v>
      </c>
      <c r="K123" s="24">
        <v>20</v>
      </c>
      <c r="L123" s="24"/>
      <c r="M123" s="24"/>
      <c r="N123" s="24"/>
      <c r="O123" s="425"/>
      <c r="P123" s="425"/>
      <c r="Q123" s="425"/>
      <c r="R123" s="133"/>
      <c r="S123" s="133">
        <v>160</v>
      </c>
      <c r="T123" s="133">
        <f ca="1">IF(Data_Shelter_t[[#This Row],[Status]]="Open",Data_Shelter_t[[#This Row],[HH Covered]],0)</f>
        <v>160</v>
      </c>
      <c r="U123" s="425" t="s">
        <v>116</v>
      </c>
      <c r="V123" s="699" t="str">
        <f ca="1">IFERROR(OFFSET(Camp_List[Status],MATCH(Data_Shelter_t[[#This Row],[Camp Name]],Camp_List[Camp Name],0)-1,0,1,1),"")</f>
        <v>Open</v>
      </c>
      <c r="W123" s="643">
        <f ca="1">IFERROR(Data_Shelter_t[[#This Row],[HH Covered]]/OFFSET(Camp_List[HH],MATCH(Data_Shelter_t[[#This Row],[Camp Name]],Camp_List[Camp Name],0)-1,0,1,1),"")</f>
        <v>0.58181818181818179</v>
      </c>
      <c r="X123" s="31">
        <f>Data_Shelter_t[[#This Row],['# of Permanent House Planned (Target)]]+Data_Shelter_t[[#This Row],['# of Individual Shelter Planned (Target)]]</f>
        <v>0</v>
      </c>
      <c r="Y123" s="662">
        <f>Data_Shelter_t[[#This Row],['# of Permanent House Built]]+Data_Shelter_t[[#This Row],['# of Individual Shelter Built]]</f>
        <v>0</v>
      </c>
    </row>
    <row r="124" spans="1:25" s="5" customFormat="1" x14ac:dyDescent="0.25">
      <c r="A124" s="663">
        <v>41548</v>
      </c>
      <c r="B124" s="424" t="s">
        <v>455</v>
      </c>
      <c r="C124" s="424" t="s">
        <v>455</v>
      </c>
      <c r="D124" s="424" t="s">
        <v>7</v>
      </c>
      <c r="E124" s="426" t="s">
        <v>19</v>
      </c>
      <c r="F124" s="424" t="s">
        <v>70</v>
      </c>
      <c r="G124" s="31">
        <v>8</v>
      </c>
      <c r="H124" s="424"/>
      <c r="I124" s="424"/>
      <c r="J124" s="31">
        <v>63</v>
      </c>
      <c r="K124" s="31">
        <v>63</v>
      </c>
      <c r="L124" s="31">
        <v>0</v>
      </c>
      <c r="M124" s="31"/>
      <c r="N124" s="31"/>
      <c r="O124" s="424"/>
      <c r="P124" s="424"/>
      <c r="Q124" s="424"/>
      <c r="R124" s="133"/>
      <c r="S124" s="133">
        <v>504</v>
      </c>
      <c r="T124" s="133">
        <f ca="1">IF(Data_Shelter_t[[#This Row],[Status]]="Open",Data_Shelter_t[[#This Row],[HH Covered]],0)</f>
        <v>504</v>
      </c>
      <c r="U124" s="425" t="s">
        <v>159</v>
      </c>
      <c r="V124" s="699" t="str">
        <f ca="1">IFERROR(OFFSET(Camp_List[Status],MATCH(Data_Shelter_t[[#This Row],[Camp Name]],Camp_List[Camp Name],0)-1,0,1,1),"")</f>
        <v>Open</v>
      </c>
      <c r="W124" s="643">
        <f ca="1">IFERROR(Data_Shelter_t[[#This Row],[HH Covered]]/OFFSET(Camp_List[HH],MATCH(Data_Shelter_t[[#This Row],[Camp Name]],Camp_List[Camp Name],0)-1,0,1,1),"")</f>
        <v>0.51219512195121952</v>
      </c>
      <c r="X124" s="31">
        <f>Data_Shelter_t[[#This Row],['# of Permanent House Planned (Target)]]+Data_Shelter_t[[#This Row],['# of Individual Shelter Planned (Target)]]</f>
        <v>0</v>
      </c>
      <c r="Y124" s="662">
        <f>Data_Shelter_t[[#This Row],['# of Permanent House Built]]+Data_Shelter_t[[#This Row],['# of Individual Shelter Built]]</f>
        <v>0</v>
      </c>
    </row>
    <row r="125" spans="1:25" s="5" customFormat="1" x14ac:dyDescent="0.25">
      <c r="A125" s="663">
        <v>41548</v>
      </c>
      <c r="B125" s="424" t="s">
        <v>296</v>
      </c>
      <c r="C125" s="424" t="s">
        <v>296</v>
      </c>
      <c r="D125" s="424" t="s">
        <v>7</v>
      </c>
      <c r="E125" s="426" t="s">
        <v>19</v>
      </c>
      <c r="F125" s="424" t="s">
        <v>70</v>
      </c>
      <c r="G125" s="31">
        <v>8</v>
      </c>
      <c r="H125" s="424"/>
      <c r="I125" s="424"/>
      <c r="J125" s="31">
        <v>60</v>
      </c>
      <c r="K125" s="31">
        <v>60</v>
      </c>
      <c r="L125" s="31"/>
      <c r="M125" s="31"/>
      <c r="N125" s="31"/>
      <c r="O125" s="424"/>
      <c r="P125" s="424"/>
      <c r="Q125" s="424"/>
      <c r="R125" s="133"/>
      <c r="S125" s="133">
        <v>480</v>
      </c>
      <c r="T125" s="133">
        <f ca="1">IF(Data_Shelter_t[[#This Row],[Status]]="Open",Data_Shelter_t[[#This Row],[HH Covered]],0)</f>
        <v>480</v>
      </c>
      <c r="U125" s="425" t="s">
        <v>159</v>
      </c>
      <c r="V125" s="699" t="str">
        <f ca="1">IFERROR(OFFSET(Camp_List[Status],MATCH(Data_Shelter_t[[#This Row],[Camp Name]],Camp_List[Camp Name],0)-1,0,1,1),"")</f>
        <v>Open</v>
      </c>
      <c r="W125" s="643">
        <f ca="1">IFERROR(Data_Shelter_t[[#This Row],[HH Covered]]/OFFSET(Camp_List[HH],MATCH(Data_Shelter_t[[#This Row],[Camp Name]],Camp_List[Camp Name],0)-1,0,1,1),"")</f>
        <v>0.48780487804878048</v>
      </c>
      <c r="X125" s="31">
        <f>Data_Shelter_t[[#This Row],['# of Permanent House Planned (Target)]]+Data_Shelter_t[[#This Row],['# of Individual Shelter Planned (Target)]]</f>
        <v>0</v>
      </c>
      <c r="Y125" s="662">
        <f>Data_Shelter_t[[#This Row],['# of Permanent House Built]]+Data_Shelter_t[[#This Row],['# of Individual Shelter Built]]</f>
        <v>0</v>
      </c>
    </row>
    <row r="126" spans="1:25" s="5" customFormat="1" x14ac:dyDescent="0.25">
      <c r="A126" s="663">
        <v>41548</v>
      </c>
      <c r="B126" s="424" t="s">
        <v>663</v>
      </c>
      <c r="C126" s="424" t="s">
        <v>663</v>
      </c>
      <c r="D126" s="424" t="s">
        <v>7</v>
      </c>
      <c r="E126" s="426" t="s">
        <v>20</v>
      </c>
      <c r="F126" s="424" t="s">
        <v>98</v>
      </c>
      <c r="G126" s="31">
        <v>1</v>
      </c>
      <c r="H126" s="424"/>
      <c r="I126" s="424"/>
      <c r="J126" s="31"/>
      <c r="K126" s="31"/>
      <c r="L126" s="31"/>
      <c r="M126" s="31">
        <v>98</v>
      </c>
      <c r="N126" s="31">
        <v>102</v>
      </c>
      <c r="O126" s="424"/>
      <c r="P126" s="424"/>
      <c r="Q126" s="424"/>
      <c r="R126" s="133"/>
      <c r="S126" s="133">
        <v>102</v>
      </c>
      <c r="T126" s="133">
        <f ca="1">IF(Data_Shelter_t[[#This Row],[Status]]="Open",Data_Shelter_t[[#This Row],[HH Covered]],0)</f>
        <v>0</v>
      </c>
      <c r="U126" s="425" t="s">
        <v>187</v>
      </c>
      <c r="V126" s="699" t="str">
        <f ca="1">IFERROR(OFFSET(Camp_List[Status],MATCH(Data_Shelter_t[[#This Row],[Camp Name]],Camp_List[Camp Name],0)-1,0,1,1),"")</f>
        <v>Close</v>
      </c>
      <c r="W126" s="643" t="str">
        <f ca="1">IFERROR(Data_Shelter_t[[#This Row],[HH Covered]]/OFFSET(Camp_List[HH],MATCH(Data_Shelter_t[[#This Row],[Camp Name]],Camp_List[Camp Name],0)-1,0,1,1),"")</f>
        <v/>
      </c>
      <c r="X126" s="24">
        <f>Data_Shelter_t[[#This Row],['# of Permanent House Planned (Target)]]+Data_Shelter_t[[#This Row],['# of Individual Shelter Planned (Target)]]</f>
        <v>98</v>
      </c>
      <c r="Y126" s="662">
        <f>Data_Shelter_t[[#This Row],['# of Permanent House Built]]+Data_Shelter_t[[#This Row],['# of Individual Shelter Built]]</f>
        <v>102</v>
      </c>
    </row>
    <row r="127" spans="1:25" s="5" customFormat="1" x14ac:dyDescent="0.25">
      <c r="A127" s="663">
        <v>41548</v>
      </c>
      <c r="B127" s="424" t="s">
        <v>296</v>
      </c>
      <c r="C127" s="424" t="s">
        <v>296</v>
      </c>
      <c r="D127" s="424" t="s">
        <v>7</v>
      </c>
      <c r="E127" s="426" t="s">
        <v>12</v>
      </c>
      <c r="F127" s="424" t="s">
        <v>34</v>
      </c>
      <c r="G127" s="31">
        <v>8</v>
      </c>
      <c r="H127" s="424"/>
      <c r="I127" s="424"/>
      <c r="J127" s="31">
        <v>46</v>
      </c>
      <c r="K127" s="31">
        <v>46</v>
      </c>
      <c r="L127" s="31"/>
      <c r="M127" s="31"/>
      <c r="N127" s="31"/>
      <c r="O127" s="424"/>
      <c r="P127" s="424"/>
      <c r="Q127" s="424"/>
      <c r="R127" s="133"/>
      <c r="S127" s="133">
        <v>368</v>
      </c>
      <c r="T127" s="133">
        <f ca="1">IF(Data_Shelter_t[[#This Row],[Status]]="Open",Data_Shelter_t[[#This Row],[HH Covered]],0)</f>
        <v>368</v>
      </c>
      <c r="U127" s="425" t="s">
        <v>121</v>
      </c>
      <c r="V127" s="699" t="str">
        <f ca="1">IFERROR(OFFSET(Camp_List[Status],MATCH(Data_Shelter_t[[#This Row],[Camp Name]],Camp_List[Camp Name],0)-1,0,1,1),"")</f>
        <v>Open</v>
      </c>
      <c r="W127" s="643">
        <f ca="1">IFERROR(Data_Shelter_t[[#This Row],[HH Covered]]/OFFSET(Camp_List[HH],MATCH(Data_Shelter_t[[#This Row],[Camp Name]],Camp_List[Camp Name],0)-1,0,1,1),"")</f>
        <v>1.0082191780821919</v>
      </c>
      <c r="X127" s="31">
        <f>Data_Shelter_t[[#This Row],['# of Permanent House Planned (Target)]]+Data_Shelter_t[[#This Row],['# of Individual Shelter Planned (Target)]]</f>
        <v>0</v>
      </c>
      <c r="Y127" s="662">
        <f>Data_Shelter_t[[#This Row],['# of Permanent House Built]]+Data_Shelter_t[[#This Row],['# of Individual Shelter Built]]</f>
        <v>0</v>
      </c>
    </row>
    <row r="128" spans="1:25" s="5" customFormat="1" x14ac:dyDescent="0.25">
      <c r="A128" s="663">
        <v>41548</v>
      </c>
      <c r="B128" s="424" t="s">
        <v>296</v>
      </c>
      <c r="C128" s="424" t="s">
        <v>296</v>
      </c>
      <c r="D128" s="424" t="s">
        <v>7</v>
      </c>
      <c r="E128" s="426" t="s">
        <v>15</v>
      </c>
      <c r="F128" s="424" t="s">
        <v>52</v>
      </c>
      <c r="G128" s="31">
        <v>8</v>
      </c>
      <c r="H128" s="424"/>
      <c r="I128" s="424"/>
      <c r="J128" s="31">
        <v>14</v>
      </c>
      <c r="K128" s="31">
        <v>14</v>
      </c>
      <c r="L128" s="31"/>
      <c r="M128" s="31"/>
      <c r="N128" s="31"/>
      <c r="O128" s="424"/>
      <c r="P128" s="424"/>
      <c r="Q128" s="424"/>
      <c r="R128" s="133"/>
      <c r="S128" s="133">
        <v>112</v>
      </c>
      <c r="T128" s="133">
        <f ca="1">IF(Data_Shelter_t[[#This Row],[Status]]="Open",Data_Shelter_t[[#This Row],[HH Covered]],0)</f>
        <v>112</v>
      </c>
      <c r="U128" s="425" t="s">
        <v>139</v>
      </c>
      <c r="V128" s="699" t="str">
        <f ca="1">IFERROR(OFFSET(Camp_List[Status],MATCH(Data_Shelter_t[[#This Row],[Camp Name]],Camp_List[Camp Name],0)-1,0,1,1),"")</f>
        <v>Open</v>
      </c>
      <c r="W128" s="643">
        <f ca="1">IFERROR(Data_Shelter_t[[#This Row],[HH Covered]]/OFFSET(Camp_List[HH],MATCH(Data_Shelter_t[[#This Row],[Camp Name]],Camp_List[Camp Name],0)-1,0,1,1),"")</f>
        <v>1</v>
      </c>
      <c r="X128" s="31">
        <f>Data_Shelter_t[[#This Row],['# of Permanent House Planned (Target)]]+Data_Shelter_t[[#This Row],['# of Individual Shelter Planned (Target)]]</f>
        <v>0</v>
      </c>
      <c r="Y128" s="662">
        <f>Data_Shelter_t[[#This Row],['# of Permanent House Built]]+Data_Shelter_t[[#This Row],['# of Individual Shelter Built]]</f>
        <v>0</v>
      </c>
    </row>
    <row r="129" spans="1:25" s="5" customFormat="1" x14ac:dyDescent="0.25">
      <c r="A129" s="663">
        <v>41548</v>
      </c>
      <c r="B129" s="424" t="s">
        <v>664</v>
      </c>
      <c r="C129" s="424" t="s">
        <v>664</v>
      </c>
      <c r="D129" s="424" t="s">
        <v>7</v>
      </c>
      <c r="E129" s="426" t="s">
        <v>20</v>
      </c>
      <c r="F129" s="424" t="s">
        <v>517</v>
      </c>
      <c r="G129" s="31">
        <v>1</v>
      </c>
      <c r="H129" s="424"/>
      <c r="I129" s="424"/>
      <c r="J129" s="31"/>
      <c r="K129" s="31"/>
      <c r="L129" s="31"/>
      <c r="M129" s="31">
        <v>77</v>
      </c>
      <c r="N129" s="31">
        <v>77</v>
      </c>
      <c r="O129" s="424"/>
      <c r="P129" s="424"/>
      <c r="Q129" s="424"/>
      <c r="R129" s="133"/>
      <c r="S129" s="133">
        <v>77</v>
      </c>
      <c r="T129" s="133">
        <f ca="1">IF(Data_Shelter_t[[#This Row],[Status]]="Open",Data_Shelter_t[[#This Row],[HH Covered]],0)</f>
        <v>0</v>
      </c>
      <c r="U129" s="425" t="s">
        <v>977</v>
      </c>
      <c r="V129" s="699" t="str">
        <f ca="1">IFERROR(OFFSET(Camp_List[Status],MATCH(Data_Shelter_t[[#This Row],[Camp Name]],Camp_List[Camp Name],0)-1,0,1,1),"")</f>
        <v/>
      </c>
      <c r="W129" s="643" t="str">
        <f ca="1">IFERROR(Data_Shelter_t[[#This Row],[HH Covered]]/OFFSET(Camp_List[HH],MATCH(Data_Shelter_t[[#This Row],[Camp Name]],Camp_List[Camp Name],0)-1,0,1,1),"")</f>
        <v/>
      </c>
      <c r="X129" s="31">
        <f>Data_Shelter_t[[#This Row],['# of Permanent House Planned (Target)]]+Data_Shelter_t[[#This Row],['# of Individual Shelter Planned (Target)]]</f>
        <v>77</v>
      </c>
      <c r="Y129" s="662">
        <f>Data_Shelter_t[[#This Row],['# of Permanent House Built]]+Data_Shelter_t[[#This Row],['# of Individual Shelter Built]]</f>
        <v>77</v>
      </c>
    </row>
    <row r="130" spans="1:25" s="5" customFormat="1" x14ac:dyDescent="0.25">
      <c r="A130" s="663">
        <v>41548</v>
      </c>
      <c r="B130" s="424" t="s">
        <v>664</v>
      </c>
      <c r="C130" s="424" t="s">
        <v>664</v>
      </c>
      <c r="D130" s="424" t="s">
        <v>7</v>
      </c>
      <c r="E130" s="426" t="s">
        <v>20</v>
      </c>
      <c r="F130" s="424" t="s">
        <v>99</v>
      </c>
      <c r="G130" s="31">
        <v>1</v>
      </c>
      <c r="H130" s="424"/>
      <c r="I130" s="424"/>
      <c r="J130" s="31"/>
      <c r="K130" s="31"/>
      <c r="L130" s="31"/>
      <c r="M130" s="31">
        <v>12</v>
      </c>
      <c r="N130" s="31">
        <v>12</v>
      </c>
      <c r="O130" s="424"/>
      <c r="P130" s="424"/>
      <c r="Q130" s="424"/>
      <c r="R130" s="133"/>
      <c r="S130" s="133">
        <v>12</v>
      </c>
      <c r="T130" s="133">
        <f ca="1">IF(Data_Shelter_t[[#This Row],[Status]]="Open",Data_Shelter_t[[#This Row],[HH Covered]],0)</f>
        <v>0</v>
      </c>
      <c r="U130" s="425" t="s">
        <v>188</v>
      </c>
      <c r="V130" s="699" t="str">
        <f ca="1">IFERROR(OFFSET(Camp_List[Status],MATCH(Data_Shelter_t[[#This Row],[Camp Name]],Camp_List[Camp Name],0)-1,0,1,1),"")</f>
        <v>Close</v>
      </c>
      <c r="W130" s="643" t="str">
        <f ca="1">IFERROR(Data_Shelter_t[[#This Row],[HH Covered]]/OFFSET(Camp_List[HH],MATCH(Data_Shelter_t[[#This Row],[Camp Name]],Camp_List[Camp Name],0)-1,0,1,1),"")</f>
        <v/>
      </c>
      <c r="X130" s="31">
        <f>Data_Shelter_t[[#This Row],['# of Permanent House Planned (Target)]]+Data_Shelter_t[[#This Row],['# of Individual Shelter Planned (Target)]]</f>
        <v>12</v>
      </c>
      <c r="Y130" s="665">
        <f>Data_Shelter_t[[#This Row],['# of Permanent House Built]]+Data_Shelter_t[[#This Row],['# of Individual Shelter Built]]</f>
        <v>12</v>
      </c>
    </row>
    <row r="131" spans="1:25" s="5" customFormat="1" x14ac:dyDescent="0.25">
      <c r="A131" s="663">
        <v>41548</v>
      </c>
      <c r="B131" s="424" t="s">
        <v>455</v>
      </c>
      <c r="C131" s="424" t="s">
        <v>455</v>
      </c>
      <c r="D131" s="424" t="s">
        <v>7</v>
      </c>
      <c r="E131" s="426" t="s">
        <v>20</v>
      </c>
      <c r="F131" s="424" t="s">
        <v>99</v>
      </c>
      <c r="G131" s="31">
        <v>1</v>
      </c>
      <c r="H131" s="424"/>
      <c r="I131" s="424"/>
      <c r="J131" s="31"/>
      <c r="K131" s="31"/>
      <c r="L131" s="31"/>
      <c r="M131" s="31">
        <v>103</v>
      </c>
      <c r="N131" s="31">
        <v>103</v>
      </c>
      <c r="O131" s="424"/>
      <c r="P131" s="424"/>
      <c r="Q131" s="424"/>
      <c r="R131" s="133"/>
      <c r="S131" s="133">
        <v>103</v>
      </c>
      <c r="T131" s="133">
        <f ca="1">IF(Data_Shelter_t[[#This Row],[Status]]="Open",Data_Shelter_t[[#This Row],[HH Covered]],0)</f>
        <v>0</v>
      </c>
      <c r="U131" s="425" t="s">
        <v>188</v>
      </c>
      <c r="V131" s="699" t="str">
        <f ca="1">IFERROR(OFFSET(Camp_List[Status],MATCH(Data_Shelter_t[[#This Row],[Camp Name]],Camp_List[Camp Name],0)-1,0,1,1),"")</f>
        <v>Close</v>
      </c>
      <c r="W131" s="643" t="str">
        <f ca="1">IFERROR(Data_Shelter_t[[#This Row],[HH Covered]]/OFFSET(Camp_List[HH],MATCH(Data_Shelter_t[[#This Row],[Camp Name]],Camp_List[Camp Name],0)-1,0,1,1),"")</f>
        <v/>
      </c>
      <c r="X131" s="31">
        <f>Data_Shelter_t[[#This Row],['# of Permanent House Planned (Target)]]+Data_Shelter_t[[#This Row],['# of Individual Shelter Planned (Target)]]</f>
        <v>103</v>
      </c>
      <c r="Y131" s="665">
        <f>Data_Shelter_t[[#This Row],['# of Permanent House Built]]+Data_Shelter_t[[#This Row],['# of Individual Shelter Built]]</f>
        <v>103</v>
      </c>
    </row>
    <row r="132" spans="1:25" s="5" customFormat="1" x14ac:dyDescent="0.25">
      <c r="A132" s="663">
        <v>41548</v>
      </c>
      <c r="B132" s="424" t="s">
        <v>664</v>
      </c>
      <c r="C132" s="424" t="s">
        <v>664</v>
      </c>
      <c r="D132" s="424" t="s">
        <v>7</v>
      </c>
      <c r="E132" s="426" t="s">
        <v>20</v>
      </c>
      <c r="F132" s="424" t="s">
        <v>516</v>
      </c>
      <c r="G132" s="31">
        <v>1</v>
      </c>
      <c r="H132" s="424"/>
      <c r="I132" s="424"/>
      <c r="J132" s="31"/>
      <c r="K132" s="31"/>
      <c r="L132" s="31"/>
      <c r="M132" s="31">
        <v>9</v>
      </c>
      <c r="N132" s="31">
        <v>9</v>
      </c>
      <c r="O132" s="424"/>
      <c r="P132" s="424"/>
      <c r="Q132" s="424"/>
      <c r="R132" s="133"/>
      <c r="S132" s="133">
        <v>9</v>
      </c>
      <c r="T132" s="133">
        <f ca="1">IF(Data_Shelter_t[[#This Row],[Status]]="Open",Data_Shelter_t[[#This Row],[HH Covered]],0)</f>
        <v>0</v>
      </c>
      <c r="U132" s="425" t="s">
        <v>977</v>
      </c>
      <c r="V132" s="699" t="str">
        <f ca="1">IFERROR(OFFSET(Camp_List[Status],MATCH(Data_Shelter_t[[#This Row],[Camp Name]],Camp_List[Camp Name],0)-1,0,1,1),"")</f>
        <v/>
      </c>
      <c r="W132" s="643" t="str">
        <f ca="1">IFERROR(Data_Shelter_t[[#This Row],[HH Covered]]/OFFSET(Camp_List[HH],MATCH(Data_Shelter_t[[#This Row],[Camp Name]],Camp_List[Camp Name],0)-1,0,1,1),"")</f>
        <v/>
      </c>
      <c r="X132" s="31">
        <f>Data_Shelter_t[[#This Row],['# of Permanent House Planned (Target)]]+Data_Shelter_t[[#This Row],['# of Individual Shelter Planned (Target)]]</f>
        <v>9</v>
      </c>
      <c r="Y132" s="665">
        <f>Data_Shelter_t[[#This Row],['# of Permanent House Built]]+Data_Shelter_t[[#This Row],['# of Individual Shelter Built]]</f>
        <v>9</v>
      </c>
    </row>
    <row r="133" spans="1:25" s="5" customFormat="1" x14ac:dyDescent="0.25">
      <c r="A133" s="663">
        <v>41548</v>
      </c>
      <c r="B133" s="424" t="s">
        <v>663</v>
      </c>
      <c r="C133" s="424" t="s">
        <v>663</v>
      </c>
      <c r="D133" s="424" t="s">
        <v>7</v>
      </c>
      <c r="E133" s="426" t="s">
        <v>20</v>
      </c>
      <c r="F133" s="424"/>
      <c r="G133" s="31">
        <v>1</v>
      </c>
      <c r="H133" s="424"/>
      <c r="I133" s="424"/>
      <c r="J133" s="31"/>
      <c r="K133" s="31"/>
      <c r="L133" s="31"/>
      <c r="M133" s="31">
        <v>11</v>
      </c>
      <c r="N133" s="31">
        <v>11</v>
      </c>
      <c r="O133" s="424"/>
      <c r="P133" s="424"/>
      <c r="Q133" s="424"/>
      <c r="R133" s="133"/>
      <c r="S133" s="133">
        <v>11</v>
      </c>
      <c r="T133" s="133">
        <f ca="1">IF(Data_Shelter_t[[#This Row],[Status]]="Open",Data_Shelter_t[[#This Row],[HH Covered]],0)</f>
        <v>0</v>
      </c>
      <c r="U133" s="425" t="s">
        <v>977</v>
      </c>
      <c r="V133" s="699" t="str">
        <f ca="1">IFERROR(OFFSET(Camp_List[Status],MATCH(Data_Shelter_t[[#This Row],[Camp Name]],Camp_List[Camp Name],0)-1,0,1,1),"")</f>
        <v/>
      </c>
      <c r="W133" s="643" t="str">
        <f ca="1">IFERROR(Data_Shelter_t[[#This Row],[HH Covered]]/OFFSET(Camp_List[HH],MATCH(Data_Shelter_t[[#This Row],[Camp Name]],Camp_List[Camp Name],0)-1,0,1,1),"")</f>
        <v/>
      </c>
      <c r="X133" s="31">
        <f>Data_Shelter_t[[#This Row],['# of Permanent House Planned (Target)]]+Data_Shelter_t[[#This Row],['# of Individual Shelter Planned (Target)]]</f>
        <v>11</v>
      </c>
      <c r="Y133" s="665">
        <f>Data_Shelter_t[[#This Row],['# of Permanent House Built]]+Data_Shelter_t[[#This Row],['# of Individual Shelter Built]]</f>
        <v>11</v>
      </c>
    </row>
    <row r="134" spans="1:25" s="5" customFormat="1" x14ac:dyDescent="0.25">
      <c r="A134" s="663">
        <v>41548</v>
      </c>
      <c r="B134" s="424" t="s">
        <v>296</v>
      </c>
      <c r="C134" s="424" t="s">
        <v>296</v>
      </c>
      <c r="D134" s="424" t="s">
        <v>7</v>
      </c>
      <c r="E134" s="426" t="s">
        <v>14</v>
      </c>
      <c r="F134" s="424" t="s">
        <v>39</v>
      </c>
      <c r="G134" s="31">
        <v>1</v>
      </c>
      <c r="H134" s="424"/>
      <c r="I134" s="424"/>
      <c r="J134" s="31"/>
      <c r="K134" s="31"/>
      <c r="L134" s="31"/>
      <c r="M134" s="31">
        <v>21</v>
      </c>
      <c r="N134" s="31">
        <v>21</v>
      </c>
      <c r="O134" s="424"/>
      <c r="P134" s="424"/>
      <c r="Q134" s="424"/>
      <c r="R134" s="133"/>
      <c r="S134" s="133">
        <v>21</v>
      </c>
      <c r="T134" s="133">
        <f ca="1">IF(Data_Shelter_t[[#This Row],[Status]]="Open",Data_Shelter_t[[#This Row],[HH Covered]],0)</f>
        <v>21</v>
      </c>
      <c r="U134" s="425" t="s">
        <v>126</v>
      </c>
      <c r="V134" s="699" t="str">
        <f ca="1">IFERROR(OFFSET(Camp_List[Status],MATCH(Data_Shelter_t[[#This Row],[Camp Name]],Camp_List[Camp Name],0)-1,0,1,1),"")</f>
        <v>Open</v>
      </c>
      <c r="W134" s="643">
        <f ca="1">IFERROR(Data_Shelter_t[[#This Row],[HH Covered]]/OFFSET(Camp_List[HH],MATCH(Data_Shelter_t[[#This Row],[Camp Name]],Camp_List[Camp Name],0)-1,0,1,1),"")</f>
        <v>1</v>
      </c>
      <c r="X134" s="31">
        <f>Data_Shelter_t[[#This Row],['# of Permanent House Planned (Target)]]+Data_Shelter_t[[#This Row],['# of Individual Shelter Planned (Target)]]</f>
        <v>21</v>
      </c>
      <c r="Y134" s="665">
        <f>Data_Shelter_t[[#This Row],['# of Permanent House Built]]+Data_Shelter_t[[#This Row],['# of Individual Shelter Built]]</f>
        <v>21</v>
      </c>
    </row>
    <row r="135" spans="1:25" s="5" customFormat="1" x14ac:dyDescent="0.25">
      <c r="A135" s="663">
        <v>41548</v>
      </c>
      <c r="B135" s="424" t="s">
        <v>296</v>
      </c>
      <c r="C135" s="424" t="s">
        <v>296</v>
      </c>
      <c r="D135" s="424" t="s">
        <v>7</v>
      </c>
      <c r="E135" s="426" t="s">
        <v>19</v>
      </c>
      <c r="F135" s="424" t="s">
        <v>659</v>
      </c>
      <c r="G135" s="31">
        <v>1</v>
      </c>
      <c r="H135" s="424"/>
      <c r="I135" s="424"/>
      <c r="J135" s="31"/>
      <c r="K135" s="31"/>
      <c r="L135" s="31"/>
      <c r="M135" s="31">
        <v>250</v>
      </c>
      <c r="N135" s="31">
        <v>250</v>
      </c>
      <c r="O135" s="424"/>
      <c r="P135" s="424"/>
      <c r="Q135" s="424"/>
      <c r="R135" s="133"/>
      <c r="S135" s="133">
        <v>250</v>
      </c>
      <c r="T135" s="133">
        <f ca="1">IF(Data_Shelter_t[[#This Row],[Status]]="Open",Data_Shelter_t[[#This Row],[HH Covered]],0)</f>
        <v>250</v>
      </c>
      <c r="U135" s="425" t="s">
        <v>661</v>
      </c>
      <c r="V135" s="699" t="str">
        <f ca="1">IFERROR(OFFSET(Camp_List[Status],MATCH(Data_Shelter_t[[#This Row],[Camp Name]],Camp_List[Camp Name],0)-1,0,1,1),"")</f>
        <v>Open</v>
      </c>
      <c r="W135" s="643">
        <f ca="1">IFERROR(Data_Shelter_t[[#This Row],[HH Covered]]/OFFSET(Camp_List[HH],MATCH(Data_Shelter_t[[#This Row],[Camp Name]],Camp_List[Camp Name],0)-1,0,1,1),"")</f>
        <v>1.0040160642570282</v>
      </c>
      <c r="X135" s="31">
        <f>Data_Shelter_t[[#This Row],['# of Permanent House Planned (Target)]]+Data_Shelter_t[[#This Row],['# of Individual Shelter Planned (Target)]]</f>
        <v>250</v>
      </c>
      <c r="Y135" s="665">
        <f>Data_Shelter_t[[#This Row],['# of Permanent House Built]]+Data_Shelter_t[[#This Row],['# of Individual Shelter Built]]</f>
        <v>250</v>
      </c>
    </row>
    <row r="136" spans="1:25" s="5" customFormat="1" x14ac:dyDescent="0.25">
      <c r="A136" s="667">
        <v>41548</v>
      </c>
      <c r="B136" s="427" t="s">
        <v>296</v>
      </c>
      <c r="C136" s="427" t="s">
        <v>296</v>
      </c>
      <c r="D136" s="427" t="s">
        <v>7</v>
      </c>
      <c r="E136" s="428" t="s">
        <v>19</v>
      </c>
      <c r="F136" s="427" t="s">
        <v>660</v>
      </c>
      <c r="G136" s="137">
        <v>1</v>
      </c>
      <c r="H136" s="427"/>
      <c r="I136" s="427"/>
      <c r="J136" s="137"/>
      <c r="K136" s="137"/>
      <c r="L136" s="137"/>
      <c r="M136" s="137">
        <v>419</v>
      </c>
      <c r="N136" s="137">
        <v>419</v>
      </c>
      <c r="O136" s="427"/>
      <c r="P136" s="427"/>
      <c r="Q136" s="427"/>
      <c r="R136" s="638"/>
      <c r="S136" s="638">
        <v>419</v>
      </c>
      <c r="T136" s="638">
        <f ca="1">IF(Data_Shelter_t[[#This Row],[Status]]="Open",Data_Shelter_t[[#This Row],[HH Covered]],0)</f>
        <v>419</v>
      </c>
      <c r="U136" s="639" t="s">
        <v>662</v>
      </c>
      <c r="V136" s="715" t="str">
        <f ca="1">IFERROR(OFFSET(Camp_List[Status],MATCH(Data_Shelter_t[[#This Row],[Camp Name]],Camp_List[Camp Name],0)-1,0,1,1),"")</f>
        <v>Open</v>
      </c>
      <c r="W136" s="643">
        <f ca="1">IFERROR(Data_Shelter_t[[#This Row],[HH Covered]]/OFFSET(Camp_List[HH],MATCH(Data_Shelter_t[[#This Row],[Camp Name]],Camp_List[Camp Name],0)-1,0,1,1),"")</f>
        <v>1.0023923444976077</v>
      </c>
      <c r="X136" s="137">
        <f>Data_Shelter_t[[#This Row],['# of Permanent House Planned (Target)]]+Data_Shelter_t[[#This Row],['# of Individual Shelter Planned (Target)]]</f>
        <v>419</v>
      </c>
      <c r="Y136" s="671">
        <f>Data_Shelter_t[[#This Row],['# of Permanent House Built]]+Data_Shelter_t[[#This Row],['# of Individual Shelter Built]]</f>
        <v>419</v>
      </c>
    </row>
    <row r="137" spans="1:25" s="5" customFormat="1" x14ac:dyDescent="0.25">
      <c r="A137" s="663">
        <v>41548</v>
      </c>
      <c r="B137" s="424" t="s">
        <v>642</v>
      </c>
      <c r="C137" s="424" t="s">
        <v>642</v>
      </c>
      <c r="D137" s="424" t="s">
        <v>7</v>
      </c>
      <c r="E137" s="426" t="s">
        <v>19</v>
      </c>
      <c r="F137" s="424" t="s">
        <v>656</v>
      </c>
      <c r="G137" s="31">
        <v>8</v>
      </c>
      <c r="H137" s="424"/>
      <c r="I137" s="424"/>
      <c r="J137" s="31">
        <v>9</v>
      </c>
      <c r="K137" s="31">
        <v>9</v>
      </c>
      <c r="L137" s="31"/>
      <c r="M137" s="31"/>
      <c r="N137" s="31"/>
      <c r="O137" s="424"/>
      <c r="P137" s="424"/>
      <c r="Q137" s="424"/>
      <c r="R137" s="133"/>
      <c r="S137" s="133">
        <v>72</v>
      </c>
      <c r="T137" s="133">
        <f ca="1">IF(Data_Shelter_t[[#This Row],[Status]]="Open",Data_Shelter_t[[#This Row],[HH Covered]],0)</f>
        <v>72</v>
      </c>
      <c r="U137" s="425" t="s">
        <v>658</v>
      </c>
      <c r="V137" s="699" t="str">
        <f ca="1">IFERROR(OFFSET(Camp_List[Status],MATCH(Data_Shelter_t[[#This Row],[Camp Name]],Camp_List[Camp Name],0)-1,0,1,1),"")</f>
        <v>Open</v>
      </c>
      <c r="W137" s="643">
        <f ca="1">IFERROR(Data_Shelter_t[[#This Row],[HH Covered]]/OFFSET(Camp_List[HH],MATCH(Data_Shelter_t[[#This Row],[Camp Name]],Camp_List[Camp Name],0)-1,0,1,1),"")</f>
        <v>3.2099866250557288E-2</v>
      </c>
      <c r="X137" s="31">
        <f>Data_Shelter_t[[#This Row],['# of Permanent House Planned (Target)]]+Data_Shelter_t[[#This Row],['# of Individual Shelter Planned (Target)]]</f>
        <v>0</v>
      </c>
      <c r="Y137" s="662">
        <f>Data_Shelter_t[[#This Row],['# of Permanent House Built]]+Data_Shelter_t[[#This Row],['# of Individual Shelter Built]]</f>
        <v>0</v>
      </c>
    </row>
    <row r="138" spans="1:25" s="5" customFormat="1" x14ac:dyDescent="0.25">
      <c r="A138" s="661">
        <v>41509</v>
      </c>
      <c r="B138" s="439" t="s">
        <v>296</v>
      </c>
      <c r="C138" s="439" t="s">
        <v>296</v>
      </c>
      <c r="D138" s="439" t="s">
        <v>7</v>
      </c>
      <c r="E138" s="441" t="s">
        <v>14</v>
      </c>
      <c r="F138" s="439" t="s">
        <v>42</v>
      </c>
      <c r="G138" s="91">
        <v>8</v>
      </c>
      <c r="H138" s="439"/>
      <c r="I138" s="439"/>
      <c r="J138" s="91">
        <v>9</v>
      </c>
      <c r="K138" s="91">
        <v>9</v>
      </c>
      <c r="L138" s="91"/>
      <c r="M138" s="91"/>
      <c r="N138" s="91"/>
      <c r="O138" s="439"/>
      <c r="P138" s="439"/>
      <c r="Q138" s="439"/>
      <c r="R138" s="133"/>
      <c r="S138" s="133">
        <v>72</v>
      </c>
      <c r="T138" s="133">
        <f ca="1">IF(Data_Shelter_t[[#This Row],[Status]]="Open",Data_Shelter_t[[#This Row],[HH Covered]],0)</f>
        <v>72</v>
      </c>
      <c r="U138" s="425" t="s">
        <v>129</v>
      </c>
      <c r="V138" s="699" t="str">
        <f ca="1">IFERROR(OFFSET(Camp_List[Status],MATCH(Data_Shelter_t[[#This Row],[Camp Name]],Camp_List[Camp Name],0)-1,0,1,1),"")</f>
        <v>Open</v>
      </c>
      <c r="W138" s="643">
        <f ca="1">IFERROR(Data_Shelter_t[[#This Row],[HH Covered]]/OFFSET(Camp_List[HH],MATCH(Data_Shelter_t[[#This Row],[Camp Name]],Camp_List[Camp Name],0)-1,0,1,1),"")</f>
        <v>6.25E-2</v>
      </c>
      <c r="X138" s="31">
        <f>Data_Shelter_t[[#This Row],['# of Permanent House Planned (Target)]]+Data_Shelter_t[[#This Row],['# of Individual Shelter Planned (Target)]]</f>
        <v>0</v>
      </c>
      <c r="Y138" s="662">
        <f>Data_Shelter_t[[#This Row],['# of Permanent House Built]]+Data_Shelter_t[[#This Row],['# of Individual Shelter Built]]</f>
        <v>0</v>
      </c>
    </row>
    <row r="139" spans="1:25" s="5" customFormat="1" x14ac:dyDescent="0.25">
      <c r="A139" s="664">
        <v>42339</v>
      </c>
      <c r="B139" s="425" t="s">
        <v>288</v>
      </c>
      <c r="C139" s="425" t="s">
        <v>296</v>
      </c>
      <c r="D139" s="425" t="s">
        <v>7</v>
      </c>
      <c r="E139" s="440" t="s">
        <v>15</v>
      </c>
      <c r="F139" s="425"/>
      <c r="G139" s="24">
        <v>1</v>
      </c>
      <c r="H139" s="425"/>
      <c r="I139" s="425"/>
      <c r="J139" s="24"/>
      <c r="K139" s="24"/>
      <c r="L139" s="24"/>
      <c r="M139" s="24"/>
      <c r="N139" s="24"/>
      <c r="O139" s="425"/>
      <c r="P139" s="425"/>
      <c r="Q139" s="425"/>
      <c r="R139" s="751">
        <v>757</v>
      </c>
      <c r="S139" s="640"/>
      <c r="T139" s="640">
        <f ca="1">IF(Data_Shelter_t[[#This Row],[Status]]="Open",Data_Shelter_t[[#This Row],[HH Covered]],0)</f>
        <v>0</v>
      </c>
      <c r="U139" s="640"/>
      <c r="V139" s="642" t="str">
        <f ca="1">IFERROR(OFFSET(Camp_List[Status],MATCH(Data_Shelter_t[[#This Row],[Camp Name]],Camp_List[Camp Name],0)-1,0,1,1),"")</f>
        <v/>
      </c>
      <c r="W139" s="643" t="str">
        <f ca="1">IFERROR(Data_Shelter_t[[#This Row],[HH Covered]]/OFFSET(Camp_List[HH],MATCH(Data_Shelter_t[[#This Row],[Camp Name]],Camp_List[Camp Name],0)-1,0,1,1),"")</f>
        <v/>
      </c>
      <c r="X139" s="640">
        <f>Data_Shelter_t[[#This Row],['# of Permanent House Planned (Target)]]+Data_Shelter_t[[#This Row],['# of Individual Shelter Planned (Target)]]</f>
        <v>0</v>
      </c>
      <c r="Y139" s="666">
        <f>Data_Shelter_t[[#This Row],['# of Permanent House Built]]+Data_Shelter_t[[#This Row],['# of Individual Shelter Built]]</f>
        <v>0</v>
      </c>
    </row>
    <row r="140" spans="1:25" s="5" customFormat="1" x14ac:dyDescent="0.25">
      <c r="A140" s="664">
        <v>42339</v>
      </c>
      <c r="B140" s="425" t="s">
        <v>288</v>
      </c>
      <c r="C140" s="425" t="s">
        <v>296</v>
      </c>
      <c r="D140" s="425" t="s">
        <v>7</v>
      </c>
      <c r="E140" s="440" t="s">
        <v>14</v>
      </c>
      <c r="F140" s="425"/>
      <c r="G140" s="24">
        <v>1</v>
      </c>
      <c r="H140" s="425"/>
      <c r="I140" s="425"/>
      <c r="J140" s="24"/>
      <c r="K140" s="24"/>
      <c r="L140" s="24"/>
      <c r="M140" s="24"/>
      <c r="N140" s="24"/>
      <c r="O140" s="425"/>
      <c r="P140" s="425"/>
      <c r="Q140" s="425"/>
      <c r="R140" s="751">
        <v>248</v>
      </c>
      <c r="S140" s="640"/>
      <c r="T140" s="640">
        <f ca="1">IF(Data_Shelter_t[[#This Row],[Status]]="Open",Data_Shelter_t[[#This Row],[HH Covered]],0)</f>
        <v>0</v>
      </c>
      <c r="U140" s="640"/>
      <c r="V140" s="642" t="str">
        <f ca="1">IFERROR(OFFSET(Camp_List[Status],MATCH(Data_Shelter_t[[#This Row],[Camp Name]],Camp_List[Camp Name],0)-1,0,1,1),"")</f>
        <v/>
      </c>
      <c r="W140" s="643" t="str">
        <f ca="1">IFERROR(Data_Shelter_t[[#This Row],[HH Covered]]/OFFSET(Camp_List[HH],MATCH(Data_Shelter_t[[#This Row],[Camp Name]],Camp_List[Camp Name],0)-1,0,1,1),"")</f>
        <v/>
      </c>
      <c r="X140" s="640">
        <f>Data_Shelter_t[[#This Row],['# of Permanent House Planned (Target)]]+Data_Shelter_t[[#This Row],['# of Individual Shelter Planned (Target)]]</f>
        <v>0</v>
      </c>
      <c r="Y140" s="666">
        <f>Data_Shelter_t[[#This Row],['# of Permanent House Built]]+Data_Shelter_t[[#This Row],['# of Individual Shelter Built]]</f>
        <v>0</v>
      </c>
    </row>
    <row r="141" spans="1:25" s="5" customFormat="1" x14ac:dyDescent="0.25">
      <c r="A141" s="664">
        <v>42339</v>
      </c>
      <c r="B141" s="425" t="s">
        <v>288</v>
      </c>
      <c r="C141" s="425" t="s">
        <v>296</v>
      </c>
      <c r="D141" s="425" t="s">
        <v>7</v>
      </c>
      <c r="E141" s="440" t="s">
        <v>19</v>
      </c>
      <c r="F141" s="425"/>
      <c r="G141" s="24"/>
      <c r="H141" s="425"/>
      <c r="I141" s="425"/>
      <c r="J141" s="24"/>
      <c r="K141" s="24"/>
      <c r="L141" s="24"/>
      <c r="M141" s="24"/>
      <c r="N141" s="24"/>
      <c r="O141" s="425"/>
      <c r="P141" s="751">
        <v>151</v>
      </c>
      <c r="Q141" s="425"/>
      <c r="R141" s="640"/>
      <c r="S141" s="640"/>
      <c r="T141" s="640">
        <f ca="1">IF(Data_Shelter_t[[#This Row],[Status]]="Open",Data_Shelter_t[[#This Row],[HH Covered]],0)</f>
        <v>0</v>
      </c>
      <c r="U141" s="640"/>
      <c r="V141" s="642" t="str">
        <f ca="1">IFERROR(OFFSET(Camp_List[Status],MATCH(Data_Shelter_t[[#This Row],[Camp Name]],Camp_List[Camp Name],0)-1,0,1,1),"")</f>
        <v/>
      </c>
      <c r="W141" s="643" t="str">
        <f ca="1">IFERROR(Data_Shelter_t[[#This Row],[HH Covered]]/OFFSET(Camp_List[HH],MATCH(Data_Shelter_t[[#This Row],[Camp Name]],Camp_List[Camp Name],0)-1,0,1,1),"")</f>
        <v/>
      </c>
      <c r="X141" s="640">
        <f>Data_Shelter_t[[#This Row],['# of Permanent House Planned (Target)]]+Data_Shelter_t[[#This Row],['# of Individual Shelter Planned (Target)]]</f>
        <v>151</v>
      </c>
      <c r="Y141" s="666">
        <f>Data_Shelter_t[[#This Row],['# of Permanent House Built]]+Data_Shelter_t[[#This Row],['# of Individual Shelter Built]]</f>
        <v>0</v>
      </c>
    </row>
    <row r="142" spans="1:25" s="5" customFormat="1" x14ac:dyDescent="0.25">
      <c r="A142" s="669" t="s">
        <v>5</v>
      </c>
      <c r="B142" s="137"/>
      <c r="C142" s="137"/>
      <c r="D142" s="137"/>
      <c r="E142" s="670"/>
      <c r="F142" s="137"/>
      <c r="G142" s="137"/>
      <c r="H142" s="137">
        <f>SUBTOTAL(109,Data_Shelter_t['#ofFamilyTentPlanned(Target)])</f>
        <v>127</v>
      </c>
      <c r="I142" s="137">
        <f>SUBTOTAL(109,Data_Shelter_t['#ofFamilyTentDistributed])</f>
        <v>127</v>
      </c>
      <c r="J142" s="137">
        <f>SUBTOTAL(109,Data_Shelter_t['# of Temporary Shelter Planned (Target)])</f>
        <v>2839</v>
      </c>
      <c r="K142" s="137">
        <f>SUBTOTAL(109,Data_Shelter_t['# of Temporary Shelter Built])</f>
        <v>2839</v>
      </c>
      <c r="L142" s="137">
        <f>SUBTOTAL(109,Data_Shelter_t['# of Temporary Shelter Under Construction])</f>
        <v>0</v>
      </c>
      <c r="M142" s="137">
        <f>SUBTOTAL(109,Data_Shelter_t['# of Permanent House Planned (Target)])</f>
        <v>1584</v>
      </c>
      <c r="N142" s="137">
        <f>SUBTOTAL(109,Data_Shelter_t['# of Permanent House Built])</f>
        <v>1380</v>
      </c>
      <c r="O142" s="137">
        <f>SUBTOTAL(109,Data_Shelter_t['#of Permanent House Under Construction])</f>
        <v>0</v>
      </c>
      <c r="P142" s="137">
        <f>SUBTOTAL(109,Data_Shelter_t['# of Individual Shelter Planned (Target)])</f>
        <v>4948</v>
      </c>
      <c r="Q142" s="638">
        <f>SUBTOTAL(109,Data_Shelter_t['# of Individual Shelter Built])</f>
        <v>1763</v>
      </c>
      <c r="R142" s="638">
        <f>SUBTOTAL(109,Data_Shelter_t['#of Individual Shelter Under Construction])</f>
        <v>1005</v>
      </c>
      <c r="S142" s="638">
        <f>SUBTOTAL(109,Data_Shelter_t[HH Covered])</f>
        <v>26305</v>
      </c>
      <c r="T142" s="638">
        <f ca="1">SUBTOTAL(109,Data_Shelter_t[HH Covered 2])</f>
        <v>25747</v>
      </c>
      <c r="U142" s="668"/>
      <c r="V142" s="656"/>
      <c r="W142" s="137"/>
      <c r="X142" s="668"/>
      <c r="Y142" s="671">
        <f>SUBTOTAL(109,Data_Shelter_t[Built])</f>
        <v>3143</v>
      </c>
    </row>
    <row r="143" spans="1:25" s="5" customFormat="1" x14ac:dyDescent="0.25">
      <c r="A143" s="247"/>
      <c r="E143" s="87"/>
      <c r="W143" s="248"/>
    </row>
    <row r="144" spans="1:25" s="5" customFormat="1" x14ac:dyDescent="0.25">
      <c r="A144" s="247"/>
      <c r="E144" s="87"/>
      <c r="W144" s="248"/>
    </row>
    <row r="145" spans="1:26" s="5" customFormat="1" x14ac:dyDescent="0.25">
      <c r="A145" s="247"/>
      <c r="E145" s="87"/>
      <c r="W145" s="248"/>
    </row>
    <row r="146" spans="1:26" s="5" customFormat="1" x14ac:dyDescent="0.25">
      <c r="A146" s="247"/>
      <c r="E146" s="87"/>
      <c r="W146" s="248"/>
    </row>
    <row r="147" spans="1:26" s="5" customFormat="1" x14ac:dyDescent="0.25">
      <c r="A147" s="247"/>
      <c r="E147" s="87"/>
      <c r="R147" s="5">
        <v>757</v>
      </c>
      <c r="T147" s="5">
        <v>0</v>
      </c>
      <c r="W147" s="248"/>
    </row>
    <row r="148" spans="1:26" s="5" customFormat="1" x14ac:dyDescent="0.25">
      <c r="A148" s="247"/>
      <c r="E148" s="87"/>
      <c r="R148" s="5">
        <v>248</v>
      </c>
      <c r="T148" s="5">
        <v>0</v>
      </c>
      <c r="W148" s="248"/>
    </row>
    <row r="149" spans="1:26" s="5" customFormat="1" x14ac:dyDescent="0.25">
      <c r="A149" s="247"/>
      <c r="E149" s="87"/>
      <c r="T149" s="5">
        <v>0</v>
      </c>
      <c r="W149" s="248"/>
    </row>
    <row r="150" spans="1:26" s="5" customFormat="1" x14ac:dyDescent="0.25">
      <c r="A150" s="247"/>
      <c r="E150" s="87"/>
      <c r="W150" s="248"/>
    </row>
    <row r="151" spans="1:26" s="5" customFormat="1" x14ac:dyDescent="0.25">
      <c r="A151" s="247"/>
      <c r="E151" s="87"/>
      <c r="W151" s="248"/>
    </row>
    <row r="152" spans="1:26" x14ac:dyDescent="0.25">
      <c r="A152" s="247"/>
      <c r="B152" s="5"/>
      <c r="C152" s="5"/>
      <c r="D152" s="5"/>
      <c r="E152" s="87"/>
      <c r="F152" s="5"/>
      <c r="G152" s="5"/>
      <c r="H152" s="5"/>
      <c r="I152" s="5"/>
      <c r="J152" s="5"/>
      <c r="K152" s="5"/>
      <c r="L152" s="5"/>
      <c r="M152" s="5"/>
      <c r="N152" s="5"/>
      <c r="O152" s="5"/>
      <c r="P152" s="5"/>
      <c r="Q152" s="5"/>
      <c r="R152" s="5"/>
      <c r="S152" s="5"/>
      <c r="T152" s="5"/>
      <c r="U152" s="5"/>
      <c r="W152" s="248"/>
      <c r="X152" s="5"/>
      <c r="Y152" s="5"/>
      <c r="Z152" s="5"/>
    </row>
    <row r="153" spans="1:26" x14ac:dyDescent="0.25">
      <c r="A153" s="247"/>
      <c r="B153" s="5"/>
      <c r="C153" s="5"/>
      <c r="D153" s="5"/>
      <c r="E153" s="87"/>
      <c r="F153" s="5"/>
      <c r="G153" s="5"/>
      <c r="H153" s="5"/>
      <c r="I153" s="5"/>
      <c r="J153" s="5"/>
      <c r="K153" s="5"/>
      <c r="L153" s="5"/>
      <c r="M153" s="5"/>
      <c r="N153" s="5"/>
      <c r="O153" s="5"/>
      <c r="P153" s="5"/>
      <c r="Q153" s="5"/>
      <c r="R153" s="5"/>
      <c r="S153" s="5"/>
      <c r="T153" s="5"/>
      <c r="U153" s="5"/>
      <c r="W153" s="248"/>
      <c r="X153" s="5"/>
      <c r="Y153" s="5"/>
      <c r="Z153" s="5"/>
    </row>
    <row r="154" spans="1:26" x14ac:dyDescent="0.25">
      <c r="A154" s="247"/>
      <c r="B154" s="5"/>
      <c r="C154" s="5"/>
      <c r="D154" s="5"/>
      <c r="E154" s="87"/>
      <c r="F154" s="5"/>
      <c r="G154" s="5"/>
      <c r="H154" s="5"/>
      <c r="I154" s="5"/>
      <c r="J154" s="5"/>
      <c r="K154" s="5"/>
      <c r="L154" s="5"/>
      <c r="M154" s="5"/>
      <c r="N154" s="5"/>
      <c r="O154" s="5"/>
      <c r="P154" s="5"/>
      <c r="Q154" s="5"/>
      <c r="R154" s="5"/>
      <c r="S154" s="5"/>
      <c r="T154" s="5"/>
      <c r="U154" s="5"/>
      <c r="W154" s="248"/>
      <c r="X154" s="5"/>
      <c r="Y154" s="5"/>
      <c r="Z154" s="5"/>
    </row>
    <row r="155" spans="1:26" x14ac:dyDescent="0.25">
      <c r="A155" s="247"/>
      <c r="B155" s="5"/>
      <c r="C155" s="5"/>
      <c r="D155" s="5"/>
      <c r="E155" s="87"/>
      <c r="F155" s="5"/>
      <c r="G155" s="5"/>
      <c r="H155" s="5"/>
      <c r="I155" s="5"/>
      <c r="J155" s="5"/>
      <c r="K155" s="5"/>
      <c r="L155" s="5"/>
      <c r="M155" s="5"/>
      <c r="N155" s="5"/>
      <c r="O155" s="5"/>
      <c r="P155" s="5"/>
      <c r="Q155" s="5"/>
      <c r="R155" s="5"/>
      <c r="S155" s="5"/>
      <c r="T155" s="5"/>
      <c r="U155" s="5"/>
      <c r="W155" s="248"/>
      <c r="X155" s="5"/>
      <c r="Y155" s="5"/>
      <c r="Z155" s="5"/>
    </row>
    <row r="156" spans="1:26" x14ac:dyDescent="0.25">
      <c r="A156" s="247"/>
      <c r="B156" s="5"/>
      <c r="C156" s="5"/>
      <c r="D156" s="5"/>
      <c r="E156" s="87"/>
      <c r="F156" s="5"/>
      <c r="G156" s="5"/>
      <c r="H156" s="5"/>
      <c r="I156" s="5"/>
      <c r="J156" s="5"/>
      <c r="K156" s="5"/>
      <c r="L156" s="5"/>
      <c r="M156" s="5"/>
      <c r="N156" s="5"/>
      <c r="O156" s="5"/>
      <c r="P156" s="5"/>
      <c r="Q156" s="5"/>
      <c r="R156" s="5"/>
      <c r="S156" s="5"/>
      <c r="T156" s="5"/>
      <c r="U156" s="5"/>
      <c r="W156" s="248"/>
      <c r="X156" s="5"/>
      <c r="Y156" s="5"/>
      <c r="Z156" s="5"/>
    </row>
    <row r="157" spans="1:26" x14ac:dyDescent="0.25">
      <c r="A157" s="247"/>
      <c r="B157" s="5"/>
      <c r="C157" s="5"/>
      <c r="D157" s="5"/>
      <c r="E157" s="87"/>
      <c r="F157" s="5"/>
      <c r="G157" s="5"/>
      <c r="H157" s="5"/>
      <c r="I157" s="5"/>
      <c r="J157" s="5"/>
      <c r="K157" s="5"/>
      <c r="L157" s="5"/>
      <c r="M157" s="5"/>
      <c r="N157" s="5"/>
      <c r="O157" s="5"/>
      <c r="P157" s="5"/>
      <c r="Q157" s="5"/>
      <c r="R157" s="5"/>
      <c r="S157" s="5"/>
      <c r="T157" s="5"/>
      <c r="U157" s="5"/>
      <c r="W157" s="248"/>
      <c r="X157" s="5"/>
      <c r="Y157" s="5"/>
      <c r="Z157" s="5"/>
    </row>
    <row r="158" spans="1:26" x14ac:dyDescent="0.25">
      <c r="A158" s="247"/>
      <c r="B158" s="5"/>
      <c r="C158" s="5"/>
      <c r="D158" s="5"/>
      <c r="E158" s="87"/>
      <c r="F158" s="5"/>
      <c r="G158" s="5"/>
      <c r="H158" s="5"/>
      <c r="I158" s="5"/>
      <c r="J158" s="5"/>
      <c r="K158" s="5"/>
      <c r="L158" s="5"/>
      <c r="M158" s="5"/>
      <c r="N158" s="5"/>
      <c r="O158" s="5"/>
      <c r="P158" s="5"/>
      <c r="Q158" s="5"/>
      <c r="R158" s="5"/>
      <c r="S158" s="5"/>
      <c r="T158" s="5"/>
      <c r="U158" s="5"/>
      <c r="W158" s="248"/>
      <c r="X158" s="5"/>
      <c r="Y158" s="5"/>
      <c r="Z158" s="5"/>
    </row>
    <row r="159" spans="1:26" x14ac:dyDescent="0.25">
      <c r="A159" s="247"/>
      <c r="B159" s="5"/>
      <c r="C159" s="5"/>
      <c r="D159" s="5"/>
      <c r="E159" s="87"/>
      <c r="F159" s="5"/>
      <c r="G159" s="5"/>
      <c r="H159" s="5"/>
      <c r="I159" s="5"/>
      <c r="J159" s="5"/>
      <c r="K159" s="5"/>
      <c r="L159" s="5"/>
      <c r="M159" s="5"/>
      <c r="N159" s="5"/>
      <c r="O159" s="5"/>
      <c r="P159" s="5"/>
      <c r="Q159" s="5"/>
      <c r="R159" s="5"/>
      <c r="S159" s="5"/>
      <c r="T159" s="5"/>
      <c r="U159" s="5"/>
      <c r="W159" s="248"/>
      <c r="X159" s="5"/>
      <c r="Y159" s="5"/>
      <c r="Z159" s="5"/>
    </row>
    <row r="160" spans="1:26" x14ac:dyDescent="0.25">
      <c r="A160" s="247"/>
      <c r="B160" s="5"/>
      <c r="C160" s="5"/>
      <c r="D160" s="5"/>
      <c r="E160" s="87"/>
      <c r="F160" s="5"/>
      <c r="G160" s="5"/>
      <c r="H160" s="5"/>
      <c r="I160" s="5"/>
      <c r="J160" s="5"/>
      <c r="K160" s="5"/>
      <c r="L160" s="5"/>
      <c r="M160" s="5"/>
      <c r="N160" s="5"/>
      <c r="O160" s="5"/>
      <c r="P160" s="5"/>
      <c r="Q160" s="5"/>
      <c r="R160" s="5"/>
      <c r="S160" s="5"/>
      <c r="T160" s="5"/>
      <c r="U160" s="5"/>
      <c r="W160" s="248"/>
      <c r="X160" s="5"/>
      <c r="Y160" s="5"/>
      <c r="Z160" s="5"/>
    </row>
    <row r="161" spans="1:26" x14ac:dyDescent="0.25">
      <c r="A161" s="247"/>
      <c r="B161" s="5"/>
      <c r="C161" s="5"/>
      <c r="D161" s="5"/>
      <c r="E161" s="87"/>
      <c r="F161" s="5"/>
      <c r="G161" s="5"/>
      <c r="H161" s="5"/>
      <c r="I161" s="5"/>
      <c r="J161" s="5"/>
      <c r="K161" s="5"/>
      <c r="L161" s="5"/>
      <c r="M161" s="5"/>
      <c r="N161" s="5"/>
      <c r="O161" s="5"/>
      <c r="P161" s="5"/>
      <c r="Q161" s="5"/>
      <c r="R161" s="5"/>
      <c r="S161" s="5"/>
      <c r="T161" s="5"/>
      <c r="U161" s="5"/>
      <c r="W161" s="248"/>
      <c r="X161" s="5"/>
      <c r="Y161" s="5"/>
      <c r="Z161" s="5"/>
    </row>
    <row r="162" spans="1:26" x14ac:dyDescent="0.25">
      <c r="A162" s="247"/>
      <c r="B162" s="5"/>
      <c r="C162" s="5"/>
      <c r="D162" s="5"/>
      <c r="E162" s="87"/>
      <c r="F162" s="5"/>
      <c r="G162" s="5"/>
      <c r="H162" s="5"/>
      <c r="I162" s="5"/>
      <c r="J162" s="5"/>
      <c r="K162" s="5"/>
      <c r="L162" s="5"/>
      <c r="M162" s="5"/>
      <c r="N162" s="5"/>
      <c r="O162" s="5"/>
      <c r="P162" s="5"/>
      <c r="Q162" s="5"/>
      <c r="R162" s="5"/>
      <c r="S162" s="5"/>
      <c r="T162" s="5"/>
      <c r="U162" s="5"/>
      <c r="W162" s="248"/>
      <c r="X162" s="5"/>
      <c r="Y162" s="5"/>
      <c r="Z162" s="5"/>
    </row>
    <row r="163" spans="1:26" x14ac:dyDescent="0.25">
      <c r="A163" s="247"/>
      <c r="B163" s="5"/>
      <c r="C163" s="5"/>
      <c r="D163" s="5"/>
      <c r="E163" s="87"/>
      <c r="F163" s="5"/>
      <c r="G163" s="5"/>
      <c r="H163" s="5"/>
      <c r="I163" s="5"/>
      <c r="J163" s="5"/>
      <c r="K163" s="5"/>
      <c r="L163" s="5"/>
      <c r="M163" s="5"/>
      <c r="N163" s="5"/>
      <c r="O163" s="5"/>
      <c r="P163" s="5"/>
      <c r="Q163" s="5"/>
      <c r="R163" s="5"/>
      <c r="S163" s="5"/>
      <c r="T163" s="5"/>
      <c r="U163" s="5"/>
      <c r="W163" s="248"/>
      <c r="X163" s="5"/>
      <c r="Y163" s="5"/>
      <c r="Z163" s="5"/>
    </row>
    <row r="164" spans="1:26" x14ac:dyDescent="0.25">
      <c r="A164" s="247"/>
      <c r="B164" s="5"/>
      <c r="C164" s="5"/>
      <c r="D164" s="5"/>
      <c r="E164" s="87"/>
      <c r="F164" s="5"/>
      <c r="G164" s="5"/>
      <c r="H164" s="5"/>
      <c r="I164" s="5"/>
      <c r="J164" s="5"/>
      <c r="K164" s="5"/>
      <c r="L164" s="5"/>
      <c r="M164" s="5"/>
      <c r="N164" s="5"/>
      <c r="O164" s="5"/>
      <c r="P164" s="5"/>
      <c r="Q164" s="5"/>
      <c r="R164" s="5"/>
      <c r="S164" s="5"/>
      <c r="T164" s="5"/>
      <c r="U164" s="5"/>
      <c r="W164" s="248"/>
      <c r="X164" s="5"/>
      <c r="Y164" s="5"/>
      <c r="Z164" s="5"/>
    </row>
    <row r="165" spans="1:26" x14ac:dyDescent="0.25">
      <c r="A165" s="247"/>
      <c r="B165" s="5"/>
      <c r="C165" s="5"/>
      <c r="D165" s="5"/>
      <c r="E165" s="87"/>
      <c r="F165" s="5"/>
      <c r="G165" s="5"/>
      <c r="H165" s="5"/>
      <c r="I165" s="5"/>
      <c r="J165" s="5"/>
      <c r="K165" s="5"/>
      <c r="L165" s="5"/>
      <c r="M165" s="5"/>
      <c r="N165" s="5"/>
      <c r="O165" s="5"/>
      <c r="P165" s="5"/>
      <c r="Q165" s="5"/>
      <c r="R165" s="5"/>
      <c r="S165" s="5"/>
      <c r="T165" s="5"/>
      <c r="U165" s="5"/>
      <c r="W165" s="248"/>
      <c r="X165" s="5"/>
      <c r="Y165" s="5"/>
    </row>
    <row r="166" spans="1:26" x14ac:dyDescent="0.25">
      <c r="A166" s="247"/>
      <c r="B166" s="5"/>
      <c r="C166" s="5"/>
      <c r="D166" s="5"/>
      <c r="E166" s="87"/>
      <c r="F166" s="5"/>
      <c r="G166" s="5"/>
      <c r="H166" s="5"/>
      <c r="I166" s="5"/>
      <c r="J166" s="5"/>
      <c r="K166" s="5"/>
      <c r="L166" s="5"/>
      <c r="M166" s="5"/>
      <c r="N166" s="5"/>
      <c r="O166" s="5"/>
      <c r="P166" s="5"/>
      <c r="Q166" s="5"/>
      <c r="R166" s="5"/>
      <c r="S166" s="5"/>
      <c r="T166" s="5"/>
      <c r="U166" s="5"/>
      <c r="W166" s="248"/>
      <c r="X166" s="5"/>
      <c r="Y166" s="5"/>
    </row>
    <row r="167" spans="1:26" x14ac:dyDescent="0.25">
      <c r="A167" s="247"/>
      <c r="B167" s="5"/>
      <c r="C167" s="5"/>
      <c r="D167" s="5"/>
      <c r="E167" s="87"/>
      <c r="F167" s="5"/>
      <c r="G167" s="5"/>
      <c r="H167" s="5"/>
      <c r="I167" s="5"/>
      <c r="J167" s="5"/>
      <c r="K167" s="5"/>
      <c r="L167" s="5"/>
      <c r="M167" s="5"/>
      <c r="N167" s="5"/>
      <c r="O167" s="5"/>
      <c r="P167" s="5"/>
      <c r="Q167" s="5"/>
      <c r="R167" s="5"/>
      <c r="S167" s="5"/>
      <c r="T167" s="5"/>
      <c r="U167" s="5"/>
      <c r="W167" s="248"/>
      <c r="X167" s="5"/>
    </row>
    <row r="168" spans="1:26" x14ac:dyDescent="0.25">
      <c r="A168" s="247"/>
      <c r="B168" s="5"/>
      <c r="C168" s="5"/>
      <c r="D168" s="5"/>
      <c r="E168" s="87"/>
      <c r="F168" s="5"/>
      <c r="G168" s="5"/>
      <c r="H168" s="5"/>
      <c r="I168" s="5"/>
      <c r="J168" s="5"/>
      <c r="K168" s="5"/>
      <c r="L168" s="5"/>
      <c r="M168" s="5"/>
      <c r="N168" s="5"/>
      <c r="O168" s="5"/>
      <c r="P168" s="5"/>
      <c r="Q168" s="5"/>
      <c r="R168" s="5"/>
      <c r="S168" s="5"/>
      <c r="T168" s="5"/>
      <c r="U168" s="5"/>
      <c r="W168" s="248"/>
      <c r="X168" s="5"/>
    </row>
    <row r="169" spans="1:26" x14ac:dyDescent="0.25">
      <c r="A169" s="247"/>
      <c r="B169" s="5"/>
      <c r="C169" s="5"/>
      <c r="D169" s="5"/>
      <c r="E169" s="87"/>
      <c r="F169" s="5"/>
      <c r="G169" s="5"/>
      <c r="H169" s="5"/>
      <c r="I169" s="5"/>
      <c r="J169" s="5"/>
      <c r="K169" s="5"/>
      <c r="L169" s="5"/>
      <c r="M169" s="5"/>
      <c r="N169" s="5"/>
      <c r="O169" s="5"/>
      <c r="P169" s="5"/>
      <c r="Q169" s="5"/>
      <c r="R169" s="5"/>
      <c r="S169" s="5"/>
      <c r="T169" s="5"/>
      <c r="U169" s="5"/>
      <c r="W169" s="248"/>
      <c r="X169" s="5"/>
    </row>
    <row r="170" spans="1:26" x14ac:dyDescent="0.25">
      <c r="A170" s="247"/>
      <c r="B170" s="5"/>
      <c r="C170" s="5"/>
      <c r="D170" s="5"/>
      <c r="E170" s="87"/>
      <c r="F170" s="5"/>
      <c r="G170" s="5"/>
      <c r="H170" s="5"/>
      <c r="I170" s="5"/>
      <c r="J170" s="5"/>
      <c r="K170" s="5"/>
      <c r="L170" s="5"/>
      <c r="M170" s="5"/>
      <c r="N170" s="5"/>
      <c r="O170" s="5"/>
      <c r="P170" s="5"/>
      <c r="Q170" s="5"/>
      <c r="R170" s="5"/>
      <c r="S170" s="5"/>
      <c r="T170" s="5"/>
      <c r="U170" s="5"/>
      <c r="W170" s="248"/>
      <c r="X170" s="5"/>
    </row>
    <row r="171" spans="1:26" x14ac:dyDescent="0.25">
      <c r="A171" s="247"/>
      <c r="B171" s="5"/>
      <c r="C171" s="5"/>
      <c r="D171" s="5"/>
      <c r="E171" s="87"/>
      <c r="F171" s="5"/>
      <c r="G171" s="5"/>
      <c r="H171" s="5"/>
      <c r="I171" s="5"/>
      <c r="J171" s="5"/>
      <c r="K171" s="5"/>
      <c r="L171" s="5"/>
      <c r="M171" s="5"/>
      <c r="N171" s="5"/>
      <c r="O171" s="5"/>
      <c r="P171" s="5"/>
      <c r="Q171" s="5"/>
      <c r="R171" s="5"/>
      <c r="S171" s="5"/>
      <c r="T171" s="5"/>
      <c r="U171" s="5"/>
      <c r="W171" s="248"/>
      <c r="X171" s="5"/>
    </row>
    <row r="172" spans="1:26" x14ac:dyDescent="0.25">
      <c r="A172" s="247"/>
      <c r="B172" s="5"/>
      <c r="C172" s="5"/>
      <c r="D172" s="5"/>
      <c r="E172" s="87"/>
      <c r="F172" s="5"/>
      <c r="G172" s="5"/>
      <c r="H172" s="5"/>
      <c r="I172" s="5"/>
      <c r="J172" s="5"/>
      <c r="K172" s="5"/>
      <c r="L172" s="5"/>
      <c r="M172" s="5"/>
      <c r="N172" s="5"/>
      <c r="O172" s="5"/>
      <c r="P172" s="5"/>
      <c r="Q172" s="5"/>
      <c r="R172" s="5"/>
      <c r="S172" s="5"/>
      <c r="T172" s="5"/>
      <c r="U172" s="5"/>
      <c r="W172" s="248"/>
      <c r="X172" s="5"/>
    </row>
    <row r="173" spans="1:26" x14ac:dyDescent="0.25">
      <c r="A173" s="247"/>
      <c r="B173" s="5"/>
      <c r="C173" s="5"/>
      <c r="D173" s="5"/>
      <c r="E173" s="87"/>
      <c r="F173" s="5"/>
      <c r="G173" s="5"/>
      <c r="H173" s="5"/>
      <c r="I173" s="5"/>
      <c r="J173" s="5"/>
      <c r="K173" s="5"/>
      <c r="L173" s="5"/>
      <c r="M173" s="5"/>
      <c r="N173" s="5"/>
      <c r="O173" s="5"/>
      <c r="P173" s="5"/>
      <c r="Q173" s="5"/>
      <c r="R173" s="5"/>
      <c r="S173" s="5"/>
      <c r="T173" s="5"/>
      <c r="U173" s="5"/>
      <c r="W173" s="248"/>
      <c r="X173" s="5"/>
    </row>
    <row r="174" spans="1:26" x14ac:dyDescent="0.25">
      <c r="A174" s="247"/>
      <c r="B174" s="5"/>
      <c r="C174" s="5"/>
      <c r="D174" s="5"/>
      <c r="E174" s="87"/>
      <c r="F174" s="5"/>
      <c r="G174" s="5"/>
      <c r="H174" s="5"/>
      <c r="I174" s="5"/>
      <c r="J174" s="5"/>
      <c r="K174" s="5"/>
      <c r="L174" s="5"/>
      <c r="M174" s="5"/>
      <c r="N174" s="5"/>
      <c r="O174" s="5"/>
      <c r="P174" s="5"/>
      <c r="Q174" s="5"/>
      <c r="R174" s="5"/>
      <c r="S174" s="5"/>
      <c r="T174" s="5"/>
      <c r="U174" s="5"/>
      <c r="W174" s="248"/>
      <c r="X174" s="5"/>
    </row>
    <row r="175" spans="1:26" x14ac:dyDescent="0.25">
      <c r="A175" s="247"/>
      <c r="B175" s="5"/>
      <c r="C175" s="5"/>
      <c r="D175" s="5"/>
      <c r="E175" s="87"/>
      <c r="F175" s="5"/>
      <c r="G175" s="5"/>
      <c r="H175" s="5"/>
      <c r="I175" s="5"/>
      <c r="J175" s="5"/>
      <c r="K175" s="5"/>
      <c r="L175" s="5"/>
      <c r="M175" s="5"/>
      <c r="N175" s="5"/>
      <c r="O175" s="5"/>
      <c r="P175" s="5"/>
      <c r="Q175" s="5"/>
      <c r="R175" s="5"/>
      <c r="S175" s="5"/>
      <c r="T175" s="5"/>
      <c r="U175" s="5"/>
      <c r="W175" s="248"/>
      <c r="X175" s="5"/>
    </row>
    <row r="176" spans="1:26" x14ac:dyDescent="0.25">
      <c r="A176" s="247"/>
      <c r="B176" s="5"/>
      <c r="C176" s="5"/>
      <c r="D176" s="5"/>
      <c r="E176" s="87"/>
      <c r="F176" s="5"/>
      <c r="G176" s="5"/>
      <c r="H176" s="5"/>
      <c r="I176" s="5"/>
      <c r="J176" s="5"/>
      <c r="K176" s="5"/>
      <c r="L176" s="5"/>
      <c r="M176" s="5"/>
      <c r="N176" s="5"/>
      <c r="O176" s="5"/>
      <c r="P176" s="5"/>
      <c r="Q176" s="5"/>
      <c r="R176" s="5"/>
      <c r="S176" s="5"/>
      <c r="T176" s="5"/>
      <c r="U176" s="5"/>
      <c r="W176" s="248"/>
      <c r="X176" s="5"/>
    </row>
    <row r="177" spans="1:24" x14ac:dyDescent="0.25">
      <c r="A177" s="247"/>
      <c r="B177" s="5"/>
      <c r="C177" s="5"/>
      <c r="D177" s="5"/>
      <c r="E177" s="87"/>
      <c r="F177" s="5"/>
      <c r="G177" s="5"/>
      <c r="H177" s="5"/>
      <c r="I177" s="5"/>
      <c r="J177" s="5"/>
      <c r="K177" s="5"/>
      <c r="L177" s="5"/>
      <c r="M177" s="5"/>
      <c r="N177" s="5"/>
      <c r="O177" s="5"/>
      <c r="P177" s="5"/>
      <c r="Q177" s="5"/>
      <c r="R177" s="5"/>
      <c r="S177" s="5"/>
      <c r="T177" s="5"/>
      <c r="U177" s="5"/>
      <c r="W177" s="248"/>
      <c r="X177" s="5"/>
    </row>
    <row r="178" spans="1:24" x14ac:dyDescent="0.25">
      <c r="A178" s="247"/>
      <c r="B178" s="5"/>
      <c r="C178" s="5"/>
      <c r="D178" s="5"/>
      <c r="E178" s="87"/>
      <c r="F178" s="5"/>
      <c r="G178" s="5"/>
      <c r="H178" s="5"/>
      <c r="I178" s="5"/>
      <c r="J178" s="5"/>
      <c r="K178" s="5"/>
      <c r="L178" s="5"/>
      <c r="M178" s="5"/>
      <c r="N178" s="5"/>
      <c r="O178" s="5"/>
      <c r="P178" s="5"/>
      <c r="Q178" s="5"/>
      <c r="R178" s="5"/>
      <c r="S178" s="5"/>
      <c r="T178" s="5"/>
      <c r="U178" s="5"/>
      <c r="W178" s="248"/>
      <c r="X178" s="5"/>
    </row>
    <row r="179" spans="1:24" x14ac:dyDescent="0.25">
      <c r="A179" s="247"/>
      <c r="B179" s="5"/>
      <c r="C179" s="5"/>
      <c r="D179" s="5"/>
      <c r="E179" s="87"/>
      <c r="F179" s="5"/>
      <c r="G179" s="5"/>
      <c r="H179" s="5"/>
      <c r="I179" s="5"/>
      <c r="J179" s="5"/>
      <c r="K179" s="5"/>
      <c r="L179" s="5"/>
      <c r="M179" s="5"/>
      <c r="N179" s="5"/>
      <c r="O179" s="5"/>
      <c r="P179" s="5"/>
      <c r="Q179" s="5"/>
      <c r="R179" s="5"/>
      <c r="S179" s="5"/>
      <c r="T179" s="5"/>
      <c r="U179" s="5"/>
      <c r="W179" s="248"/>
      <c r="X179" s="5"/>
    </row>
    <row r="180" spans="1:24" x14ac:dyDescent="0.25">
      <c r="A180" s="247"/>
      <c r="B180" s="5"/>
      <c r="C180" s="5"/>
      <c r="D180" s="5"/>
      <c r="E180" s="87"/>
      <c r="F180" s="5"/>
      <c r="G180" s="5"/>
      <c r="H180" s="5"/>
      <c r="I180" s="5"/>
      <c r="J180" s="5"/>
      <c r="K180" s="5"/>
      <c r="L180" s="5"/>
      <c r="M180" s="5"/>
      <c r="N180" s="5"/>
      <c r="O180" s="5"/>
      <c r="P180" s="5"/>
      <c r="Q180" s="5"/>
      <c r="R180" s="5"/>
      <c r="S180" s="5"/>
      <c r="T180" s="5"/>
      <c r="U180" s="5"/>
      <c r="W180" s="248"/>
      <c r="X180" s="5"/>
    </row>
    <row r="181" spans="1:24" x14ac:dyDescent="0.25">
      <c r="A181" s="247"/>
      <c r="B181" s="5"/>
      <c r="C181" s="5"/>
      <c r="D181" s="5"/>
      <c r="E181" s="87"/>
      <c r="F181" s="5"/>
      <c r="G181" s="5"/>
      <c r="H181" s="5"/>
      <c r="I181" s="5"/>
      <c r="J181" s="5"/>
      <c r="K181" s="5"/>
      <c r="L181" s="5"/>
      <c r="M181" s="5"/>
      <c r="N181" s="5"/>
      <c r="O181" s="5"/>
      <c r="P181" s="5"/>
      <c r="Q181" s="5"/>
      <c r="R181" s="5"/>
      <c r="S181" s="5"/>
      <c r="T181" s="5"/>
      <c r="U181" s="5"/>
      <c r="W181" s="248"/>
      <c r="X181" s="5"/>
    </row>
    <row r="182" spans="1:24" x14ac:dyDescent="0.25">
      <c r="A182" s="247"/>
      <c r="B182" s="5"/>
      <c r="C182" s="5"/>
      <c r="D182" s="5"/>
      <c r="E182" s="87"/>
      <c r="F182" s="5"/>
      <c r="G182" s="5"/>
      <c r="H182" s="5"/>
      <c r="I182" s="5"/>
      <c r="J182" s="5"/>
      <c r="K182" s="5"/>
      <c r="L182" s="5"/>
      <c r="M182" s="5"/>
      <c r="N182" s="5"/>
      <c r="O182" s="5"/>
      <c r="P182" s="5"/>
      <c r="Q182" s="5"/>
      <c r="R182" s="5"/>
      <c r="S182" s="5"/>
      <c r="T182" s="5"/>
      <c r="U182" s="5"/>
      <c r="W182" s="248"/>
      <c r="X182" s="5"/>
    </row>
    <row r="183" spans="1:24" x14ac:dyDescent="0.25">
      <c r="A183" s="247"/>
      <c r="B183" s="5"/>
      <c r="C183" s="5"/>
      <c r="D183" s="5"/>
      <c r="E183" s="87"/>
      <c r="F183" s="5"/>
      <c r="G183" s="5"/>
      <c r="H183" s="5"/>
      <c r="I183" s="5"/>
      <c r="J183" s="5"/>
      <c r="K183" s="5"/>
      <c r="L183" s="5"/>
      <c r="M183" s="5"/>
      <c r="N183" s="5"/>
      <c r="O183" s="5"/>
      <c r="P183" s="5"/>
      <c r="Q183" s="5"/>
      <c r="R183" s="5"/>
      <c r="S183" s="5"/>
      <c r="T183" s="5"/>
      <c r="U183" s="5"/>
      <c r="W183" s="248"/>
      <c r="X183" s="5"/>
    </row>
    <row r="184" spans="1:24" x14ac:dyDescent="0.25">
      <c r="A184" s="247"/>
      <c r="B184" s="5"/>
      <c r="C184" s="5"/>
      <c r="D184" s="5"/>
      <c r="E184" s="87"/>
      <c r="F184" s="5"/>
      <c r="G184" s="5"/>
      <c r="H184" s="5"/>
      <c r="I184" s="5"/>
      <c r="J184" s="5"/>
      <c r="K184" s="5"/>
      <c r="L184" s="5"/>
      <c r="M184" s="5"/>
      <c r="N184" s="5"/>
      <c r="O184" s="5"/>
      <c r="P184" s="5"/>
      <c r="Q184" s="5"/>
      <c r="R184" s="5"/>
      <c r="S184" s="5"/>
      <c r="T184" s="5"/>
      <c r="U184" s="5"/>
      <c r="W184" s="248"/>
      <c r="X184" s="5"/>
    </row>
    <row r="185" spans="1:24" x14ac:dyDescent="0.25">
      <c r="A185" s="247"/>
      <c r="B185" s="5"/>
      <c r="C185" s="5"/>
      <c r="D185" s="5"/>
      <c r="E185" s="87"/>
      <c r="F185" s="5"/>
      <c r="G185" s="5"/>
      <c r="H185" s="5"/>
      <c r="I185" s="5"/>
      <c r="J185" s="5"/>
      <c r="K185" s="5"/>
      <c r="L185" s="5"/>
      <c r="M185" s="5"/>
      <c r="N185" s="5"/>
      <c r="O185" s="5"/>
      <c r="P185" s="5"/>
      <c r="Q185" s="5"/>
      <c r="R185" s="5"/>
      <c r="S185" s="5"/>
      <c r="T185" s="5"/>
      <c r="U185" s="5"/>
      <c r="W185" s="248"/>
      <c r="X185" s="5"/>
    </row>
    <row r="186" spans="1:24" x14ac:dyDescent="0.25">
      <c r="A186" s="247"/>
      <c r="B186" s="5"/>
      <c r="C186" s="5"/>
      <c r="D186" s="5"/>
      <c r="E186" s="87"/>
      <c r="F186" s="5"/>
      <c r="G186" s="5"/>
      <c r="H186" s="5"/>
      <c r="I186" s="5"/>
      <c r="J186" s="5"/>
      <c r="K186" s="5"/>
      <c r="L186" s="5"/>
      <c r="M186" s="5"/>
      <c r="N186" s="5"/>
      <c r="O186" s="5"/>
      <c r="P186" s="5"/>
      <c r="Q186" s="5"/>
      <c r="R186" s="5"/>
      <c r="S186" s="5"/>
      <c r="T186" s="5"/>
      <c r="U186" s="5"/>
      <c r="W186" s="248"/>
      <c r="X186" s="5"/>
    </row>
    <row r="187" spans="1:24" x14ac:dyDescent="0.25">
      <c r="A187" s="247"/>
      <c r="B187" s="5"/>
      <c r="C187" s="5"/>
      <c r="D187" s="5"/>
      <c r="E187" s="87"/>
      <c r="F187" s="5"/>
      <c r="G187" s="5"/>
      <c r="H187" s="5"/>
      <c r="I187" s="5"/>
      <c r="J187" s="5"/>
      <c r="K187" s="5"/>
      <c r="L187" s="5"/>
      <c r="M187" s="5"/>
      <c r="N187" s="5"/>
      <c r="O187" s="5"/>
      <c r="P187" s="5"/>
      <c r="Q187" s="5"/>
      <c r="R187" s="5"/>
      <c r="S187" s="5"/>
      <c r="T187" s="5"/>
      <c r="U187" s="5"/>
      <c r="W187" s="248"/>
      <c r="X187" s="5"/>
    </row>
    <row r="188" spans="1:24" x14ac:dyDescent="0.25">
      <c r="A188" s="247"/>
      <c r="B188" s="5"/>
      <c r="C188" s="5"/>
      <c r="D188" s="5"/>
      <c r="E188" s="87"/>
      <c r="F188" s="5"/>
      <c r="G188" s="5"/>
      <c r="H188" s="5"/>
      <c r="I188" s="5"/>
      <c r="J188" s="5"/>
      <c r="K188" s="5"/>
      <c r="L188" s="5"/>
      <c r="M188" s="5"/>
      <c r="N188" s="5"/>
      <c r="O188" s="5"/>
      <c r="P188" s="5"/>
      <c r="Q188" s="5"/>
      <c r="R188" s="5"/>
      <c r="S188" s="5"/>
      <c r="T188" s="5"/>
      <c r="U188" s="5"/>
      <c r="W188" s="248"/>
      <c r="X188" s="5"/>
    </row>
    <row r="189" spans="1:24" x14ac:dyDescent="0.25">
      <c r="A189" s="247"/>
      <c r="B189" s="5"/>
      <c r="C189" s="5"/>
      <c r="D189" s="5"/>
      <c r="E189" s="87"/>
      <c r="F189" s="5"/>
      <c r="G189" s="5"/>
      <c r="H189" s="5"/>
      <c r="I189" s="5"/>
      <c r="J189" s="5"/>
      <c r="K189" s="5"/>
      <c r="L189" s="5"/>
      <c r="M189" s="5"/>
      <c r="N189" s="5"/>
      <c r="O189" s="5"/>
      <c r="P189" s="5"/>
      <c r="Q189" s="5"/>
      <c r="R189" s="5"/>
      <c r="S189" s="5"/>
      <c r="T189" s="5"/>
      <c r="U189" s="5"/>
      <c r="W189" s="248"/>
      <c r="X189" s="5"/>
    </row>
    <row r="190" spans="1:24" x14ac:dyDescent="0.25">
      <c r="A190" s="247"/>
      <c r="B190" s="5"/>
      <c r="C190" s="5"/>
      <c r="D190" s="5"/>
      <c r="E190" s="87"/>
      <c r="F190" s="5"/>
      <c r="G190" s="5"/>
      <c r="H190" s="5"/>
      <c r="I190" s="5"/>
      <c r="J190" s="5"/>
      <c r="K190" s="5"/>
      <c r="L190" s="5"/>
      <c r="M190" s="5"/>
      <c r="N190" s="5"/>
      <c r="O190" s="5"/>
      <c r="P190" s="5"/>
      <c r="Q190" s="5"/>
      <c r="R190" s="5"/>
      <c r="S190" s="5"/>
      <c r="T190" s="5"/>
      <c r="U190" s="5"/>
      <c r="W190" s="248"/>
      <c r="X190" s="5"/>
    </row>
    <row r="191" spans="1:24" x14ac:dyDescent="0.25">
      <c r="A191" s="247"/>
      <c r="B191" s="5"/>
      <c r="C191" s="5"/>
      <c r="D191" s="5"/>
      <c r="E191" s="87"/>
      <c r="F191" s="5"/>
      <c r="G191" s="5"/>
      <c r="H191" s="5"/>
      <c r="I191" s="5"/>
      <c r="J191" s="5"/>
      <c r="K191" s="5"/>
      <c r="L191" s="5"/>
      <c r="M191" s="5"/>
      <c r="N191" s="5"/>
      <c r="O191" s="5"/>
      <c r="P191" s="5"/>
      <c r="Q191" s="5"/>
      <c r="R191" s="5"/>
      <c r="S191" s="5"/>
      <c r="T191" s="5"/>
      <c r="U191" s="5"/>
      <c r="W191" s="248"/>
      <c r="X191" s="5"/>
    </row>
    <row r="192" spans="1:24" x14ac:dyDescent="0.25">
      <c r="A192" s="247"/>
      <c r="B192" s="5"/>
      <c r="C192" s="5"/>
      <c r="D192" s="5"/>
      <c r="E192" s="87"/>
      <c r="F192" s="5"/>
      <c r="G192" s="5"/>
      <c r="H192" s="5"/>
      <c r="I192" s="5"/>
      <c r="J192" s="5"/>
      <c r="K192" s="5"/>
      <c r="L192" s="5"/>
      <c r="M192" s="5"/>
      <c r="N192" s="5"/>
      <c r="O192" s="5"/>
      <c r="P192" s="5"/>
      <c r="Q192" s="5"/>
      <c r="R192" s="5"/>
      <c r="S192" s="5"/>
      <c r="T192" s="5"/>
      <c r="U192" s="5"/>
      <c r="W192" s="248"/>
      <c r="X192" s="5"/>
    </row>
    <row r="193" spans="1:24" x14ac:dyDescent="0.25">
      <c r="A193" s="247"/>
      <c r="B193" s="5"/>
      <c r="C193" s="5"/>
      <c r="D193" s="5"/>
      <c r="E193" s="87"/>
      <c r="F193" s="5"/>
      <c r="G193" s="5"/>
      <c r="H193" s="5"/>
      <c r="I193" s="5"/>
      <c r="J193" s="5"/>
      <c r="K193" s="5"/>
      <c r="L193" s="5"/>
      <c r="M193" s="5"/>
      <c r="N193" s="5"/>
      <c r="O193" s="5"/>
      <c r="P193" s="5"/>
      <c r="Q193" s="5"/>
      <c r="R193" s="5"/>
      <c r="S193" s="5"/>
      <c r="T193" s="5"/>
      <c r="U193" s="5"/>
      <c r="W193" s="248"/>
      <c r="X193" s="5"/>
    </row>
    <row r="194" spans="1:24" x14ac:dyDescent="0.25">
      <c r="A194" s="247"/>
      <c r="B194" s="5"/>
      <c r="C194" s="5"/>
      <c r="D194" s="5"/>
      <c r="E194" s="87"/>
      <c r="F194" s="5"/>
      <c r="G194" s="5"/>
      <c r="H194" s="5"/>
      <c r="I194" s="5"/>
      <c r="J194" s="5"/>
      <c r="K194" s="5"/>
      <c r="L194" s="5"/>
      <c r="M194" s="5"/>
      <c r="N194" s="5"/>
      <c r="O194" s="5"/>
      <c r="P194" s="5"/>
      <c r="Q194" s="5"/>
      <c r="R194" s="5"/>
      <c r="S194" s="5"/>
      <c r="T194" s="5"/>
      <c r="U194" s="5"/>
      <c r="W194" s="248"/>
      <c r="X194" s="5"/>
    </row>
    <row r="195" spans="1:24" x14ac:dyDescent="0.25">
      <c r="A195" s="247"/>
      <c r="B195" s="5"/>
      <c r="C195" s="5"/>
      <c r="D195" s="5"/>
      <c r="E195" s="87"/>
      <c r="F195" s="5"/>
      <c r="G195" s="5"/>
      <c r="H195" s="5"/>
      <c r="I195" s="5"/>
      <c r="J195" s="5"/>
      <c r="K195" s="5"/>
      <c r="L195" s="5"/>
      <c r="M195" s="5"/>
      <c r="N195" s="5"/>
      <c r="O195" s="5"/>
      <c r="P195" s="5"/>
      <c r="Q195" s="5"/>
      <c r="R195" s="5"/>
      <c r="S195" s="5"/>
      <c r="T195" s="5"/>
      <c r="U195" s="5"/>
      <c r="W195" s="248"/>
      <c r="X195" s="5"/>
    </row>
    <row r="196" spans="1:24" x14ac:dyDescent="0.25">
      <c r="A196" s="247"/>
      <c r="B196" s="5"/>
      <c r="C196" s="5"/>
      <c r="D196" s="5"/>
      <c r="E196" s="87"/>
      <c r="F196" s="5"/>
      <c r="G196" s="5"/>
      <c r="H196" s="5"/>
      <c r="I196" s="5"/>
      <c r="J196" s="5"/>
      <c r="K196" s="5"/>
      <c r="L196" s="5"/>
      <c r="M196" s="5"/>
      <c r="N196" s="5"/>
      <c r="O196" s="5"/>
      <c r="P196" s="5"/>
      <c r="Q196" s="5"/>
      <c r="R196" s="5"/>
      <c r="S196" s="5"/>
      <c r="T196" s="5"/>
      <c r="U196" s="5"/>
      <c r="W196" s="248"/>
      <c r="X196" s="5"/>
    </row>
    <row r="197" spans="1:24" x14ac:dyDescent="0.25">
      <c r="A197" s="247"/>
      <c r="B197" s="5"/>
      <c r="C197" s="5"/>
      <c r="D197" s="5"/>
      <c r="E197" s="87"/>
      <c r="F197" s="5"/>
      <c r="G197" s="5"/>
      <c r="H197" s="5"/>
      <c r="I197" s="5"/>
      <c r="J197" s="5"/>
      <c r="K197" s="5"/>
      <c r="L197" s="5"/>
      <c r="M197" s="5"/>
      <c r="N197" s="5"/>
      <c r="O197" s="5"/>
      <c r="P197" s="5"/>
      <c r="Q197" s="5"/>
      <c r="R197" s="5"/>
      <c r="S197" s="5"/>
      <c r="T197" s="5"/>
      <c r="U197" s="5"/>
      <c r="W197" s="248"/>
      <c r="X197" s="5"/>
    </row>
    <row r="198" spans="1:24" x14ac:dyDescent="0.25">
      <c r="A198" s="247"/>
      <c r="B198" s="5"/>
      <c r="C198" s="5"/>
      <c r="D198" s="5"/>
      <c r="E198" s="87"/>
      <c r="F198" s="5"/>
      <c r="G198" s="5"/>
      <c r="H198" s="5"/>
      <c r="I198" s="5"/>
      <c r="J198" s="5"/>
      <c r="K198" s="5"/>
      <c r="L198" s="5"/>
      <c r="M198" s="5"/>
      <c r="N198" s="5"/>
      <c r="O198" s="5"/>
      <c r="P198" s="5"/>
      <c r="Q198" s="5"/>
      <c r="R198" s="5"/>
      <c r="S198" s="5"/>
      <c r="T198" s="5"/>
      <c r="U198" s="5"/>
      <c r="W198" s="248"/>
      <c r="X198" s="5"/>
    </row>
    <row r="199" spans="1:24" x14ac:dyDescent="0.25">
      <c r="A199" s="247"/>
      <c r="B199" s="5"/>
      <c r="C199" s="5"/>
      <c r="D199" s="5"/>
      <c r="E199" s="87"/>
      <c r="F199" s="5"/>
      <c r="G199" s="5"/>
      <c r="H199" s="5"/>
      <c r="I199" s="5"/>
      <c r="J199" s="5"/>
      <c r="K199" s="5"/>
      <c r="L199" s="5"/>
      <c r="M199" s="5"/>
      <c r="N199" s="5"/>
      <c r="O199" s="5"/>
      <c r="P199" s="5"/>
      <c r="Q199" s="5"/>
      <c r="R199" s="5"/>
      <c r="S199" s="5"/>
      <c r="T199" s="5"/>
      <c r="U199" s="5"/>
      <c r="W199" s="248"/>
      <c r="X199" s="5"/>
    </row>
    <row r="200" spans="1:24" x14ac:dyDescent="0.25">
      <c r="E200" s="2"/>
    </row>
    <row r="201" spans="1:24" x14ac:dyDescent="0.25">
      <c r="E201" s="2"/>
    </row>
    <row r="202" spans="1:24" x14ac:dyDescent="0.25">
      <c r="E202" s="2"/>
    </row>
    <row r="203" spans="1:24" x14ac:dyDescent="0.25">
      <c r="E203" s="2"/>
    </row>
    <row r="204" spans="1:24" x14ac:dyDescent="0.25">
      <c r="E204" s="2"/>
    </row>
    <row r="205" spans="1:24" x14ac:dyDescent="0.25">
      <c r="E205" s="2"/>
    </row>
    <row r="206" spans="1:24" x14ac:dyDescent="0.25">
      <c r="E206" s="2"/>
    </row>
    <row r="207" spans="1:24" x14ac:dyDescent="0.25">
      <c r="E207" s="2"/>
    </row>
    <row r="208" spans="1:24" x14ac:dyDescent="0.25">
      <c r="E208" s="2"/>
    </row>
    <row r="209" spans="5:5" x14ac:dyDescent="0.25">
      <c r="E209" s="2"/>
    </row>
    <row r="210" spans="5:5" x14ac:dyDescent="0.25">
      <c r="E210" s="2"/>
    </row>
    <row r="211" spans="5:5" x14ac:dyDescent="0.25">
      <c r="E211" s="2"/>
    </row>
    <row r="212" spans="5:5" x14ac:dyDescent="0.25">
      <c r="E212" s="2"/>
    </row>
    <row r="213" spans="5:5" x14ac:dyDescent="0.25">
      <c r="E213" s="2"/>
    </row>
    <row r="214" spans="5:5" x14ac:dyDescent="0.25">
      <c r="E214" s="2"/>
    </row>
    <row r="215" spans="5:5" x14ac:dyDescent="0.25">
      <c r="E215" s="2"/>
    </row>
    <row r="216" spans="5:5" x14ac:dyDescent="0.25">
      <c r="E216" s="2"/>
    </row>
    <row r="217" spans="5:5" x14ac:dyDescent="0.25">
      <c r="E217" s="2"/>
    </row>
    <row r="218" spans="5:5" x14ac:dyDescent="0.25">
      <c r="E218" s="2"/>
    </row>
    <row r="219" spans="5:5" x14ac:dyDescent="0.25">
      <c r="E219" s="2"/>
    </row>
    <row r="220" spans="5:5" x14ac:dyDescent="0.25">
      <c r="E220" s="2"/>
    </row>
    <row r="221" spans="5:5" x14ac:dyDescent="0.25">
      <c r="E221" s="2"/>
    </row>
    <row r="222" spans="5:5" x14ac:dyDescent="0.25">
      <c r="E222" s="2"/>
    </row>
    <row r="223" spans="5:5" x14ac:dyDescent="0.25">
      <c r="E223" s="2"/>
    </row>
    <row r="224" spans="5:5" x14ac:dyDescent="0.25">
      <c r="E224" s="2"/>
    </row>
    <row r="225" spans="5:5" x14ac:dyDescent="0.25">
      <c r="E225" s="2"/>
    </row>
    <row r="226" spans="5:5" x14ac:dyDescent="0.25">
      <c r="E226" s="2"/>
    </row>
    <row r="227" spans="5:5" x14ac:dyDescent="0.25">
      <c r="E227" s="2"/>
    </row>
    <row r="228" spans="5:5" x14ac:dyDescent="0.25">
      <c r="E228" s="2"/>
    </row>
    <row r="229" spans="5:5" x14ac:dyDescent="0.25">
      <c r="E229" s="2"/>
    </row>
    <row r="230" spans="5:5" x14ac:dyDescent="0.25">
      <c r="E230" s="2"/>
    </row>
    <row r="231" spans="5:5" x14ac:dyDescent="0.25">
      <c r="E231" s="2"/>
    </row>
    <row r="232" spans="5:5" x14ac:dyDescent="0.25">
      <c r="E232" s="2"/>
    </row>
    <row r="233" spans="5:5" x14ac:dyDescent="0.25">
      <c r="E233" s="2"/>
    </row>
    <row r="234" spans="5:5" x14ac:dyDescent="0.25">
      <c r="E234" s="2"/>
    </row>
    <row r="235" spans="5:5" x14ac:dyDescent="0.25">
      <c r="E235" s="2"/>
    </row>
    <row r="236" spans="5:5" x14ac:dyDescent="0.25">
      <c r="E236" s="2"/>
    </row>
    <row r="237" spans="5:5" x14ac:dyDescent="0.25">
      <c r="E237" s="2"/>
    </row>
    <row r="238" spans="5:5" x14ac:dyDescent="0.25">
      <c r="E238" s="2"/>
    </row>
    <row r="239" spans="5:5" x14ac:dyDescent="0.25">
      <c r="E239" s="2"/>
    </row>
    <row r="240" spans="5:5" x14ac:dyDescent="0.25">
      <c r="E240" s="2"/>
    </row>
    <row r="241" spans="5:5" x14ac:dyDescent="0.25">
      <c r="E241" s="2"/>
    </row>
    <row r="242" spans="5:5" x14ac:dyDescent="0.25">
      <c r="E242" s="2"/>
    </row>
    <row r="243" spans="5:5" x14ac:dyDescent="0.25">
      <c r="E243" s="2"/>
    </row>
    <row r="244" spans="5:5" x14ac:dyDescent="0.25">
      <c r="E244" s="2"/>
    </row>
    <row r="245" spans="5:5" x14ac:dyDescent="0.25">
      <c r="E245" s="2"/>
    </row>
    <row r="246" spans="5:5" x14ac:dyDescent="0.25">
      <c r="E246" s="2"/>
    </row>
    <row r="247" spans="5:5" x14ac:dyDescent="0.25">
      <c r="E247" s="2"/>
    </row>
    <row r="248" spans="5:5" x14ac:dyDescent="0.25">
      <c r="E248" s="2"/>
    </row>
    <row r="249" spans="5:5" x14ac:dyDescent="0.25">
      <c r="E249" s="2"/>
    </row>
    <row r="250" spans="5:5" x14ac:dyDescent="0.25">
      <c r="E250" s="2"/>
    </row>
    <row r="251" spans="5:5" x14ac:dyDescent="0.25">
      <c r="E251" s="2"/>
    </row>
    <row r="252" spans="5:5" x14ac:dyDescent="0.25">
      <c r="E252" s="2"/>
    </row>
    <row r="253" spans="5:5" x14ac:dyDescent="0.25">
      <c r="E253" s="2"/>
    </row>
    <row r="254" spans="5:5" x14ac:dyDescent="0.25">
      <c r="E254" s="2"/>
    </row>
    <row r="255" spans="5:5" x14ac:dyDescent="0.25">
      <c r="E255" s="2"/>
    </row>
    <row r="256" spans="5:5" x14ac:dyDescent="0.25">
      <c r="E256" s="2"/>
    </row>
    <row r="257" spans="5:5" x14ac:dyDescent="0.25">
      <c r="E257" s="2"/>
    </row>
    <row r="258" spans="5:5" x14ac:dyDescent="0.25">
      <c r="E258" s="2"/>
    </row>
    <row r="259" spans="5:5" x14ac:dyDescent="0.25">
      <c r="E259" s="2"/>
    </row>
    <row r="260" spans="5:5" x14ac:dyDescent="0.25">
      <c r="E260" s="2"/>
    </row>
    <row r="261" spans="5:5" x14ac:dyDescent="0.25">
      <c r="E261" s="2"/>
    </row>
    <row r="262" spans="5:5" x14ac:dyDescent="0.25">
      <c r="E262" s="2"/>
    </row>
    <row r="263" spans="5:5" x14ac:dyDescent="0.25">
      <c r="E263" s="2"/>
    </row>
    <row r="264" spans="5:5" x14ac:dyDescent="0.25">
      <c r="E264" s="2"/>
    </row>
    <row r="265" spans="5:5" x14ac:dyDescent="0.25">
      <c r="E265" s="2"/>
    </row>
    <row r="266" spans="5:5" x14ac:dyDescent="0.25">
      <c r="E266" s="2"/>
    </row>
    <row r="267" spans="5:5" x14ac:dyDescent="0.25">
      <c r="E267" s="2"/>
    </row>
    <row r="268" spans="5:5" x14ac:dyDescent="0.25">
      <c r="E268" s="2"/>
    </row>
    <row r="269" spans="5:5" x14ac:dyDescent="0.25">
      <c r="E269" s="2"/>
    </row>
    <row r="270" spans="5:5" x14ac:dyDescent="0.25">
      <c r="E270" s="2"/>
    </row>
    <row r="271" spans="5:5" x14ac:dyDescent="0.25">
      <c r="E271" s="2"/>
    </row>
    <row r="272" spans="5:5" x14ac:dyDescent="0.25">
      <c r="E272" s="2"/>
    </row>
    <row r="273" spans="5:5" x14ac:dyDescent="0.25">
      <c r="E273" s="2"/>
    </row>
    <row r="274" spans="5:5" x14ac:dyDescent="0.25">
      <c r="E274" s="2"/>
    </row>
    <row r="275" spans="5:5" x14ac:dyDescent="0.25">
      <c r="E275" s="2"/>
    </row>
    <row r="276" spans="5:5" x14ac:dyDescent="0.25">
      <c r="E276" s="2"/>
    </row>
    <row r="277" spans="5:5" x14ac:dyDescent="0.25">
      <c r="E277" s="2"/>
    </row>
    <row r="278" spans="5:5" x14ac:dyDescent="0.25">
      <c r="E278" s="2"/>
    </row>
    <row r="279" spans="5:5" x14ac:dyDescent="0.25">
      <c r="E279" s="2"/>
    </row>
    <row r="280" spans="5:5" x14ac:dyDescent="0.25">
      <c r="E280" s="2"/>
    </row>
    <row r="281" spans="5:5" x14ac:dyDescent="0.25">
      <c r="E281" s="2"/>
    </row>
    <row r="282" spans="5:5" x14ac:dyDescent="0.25">
      <c r="E282" s="2"/>
    </row>
    <row r="283" spans="5:5" x14ac:dyDescent="0.25">
      <c r="E283" s="2"/>
    </row>
    <row r="284" spans="5:5" x14ac:dyDescent="0.25">
      <c r="E284" s="2"/>
    </row>
    <row r="285" spans="5:5" x14ac:dyDescent="0.25">
      <c r="E285" s="2"/>
    </row>
    <row r="286" spans="5:5" x14ac:dyDescent="0.25">
      <c r="E286" s="2"/>
    </row>
    <row r="287" spans="5:5" x14ac:dyDescent="0.25">
      <c r="E287" s="2"/>
    </row>
    <row r="288" spans="5:5" x14ac:dyDescent="0.25">
      <c r="E288" s="2"/>
    </row>
    <row r="289" spans="5:5" x14ac:dyDescent="0.25">
      <c r="E289" s="2"/>
    </row>
    <row r="290" spans="5:5" x14ac:dyDescent="0.25">
      <c r="E290" s="2"/>
    </row>
    <row r="291" spans="5:5" x14ac:dyDescent="0.25">
      <c r="E291" s="2"/>
    </row>
    <row r="292" spans="5:5" x14ac:dyDescent="0.25">
      <c r="E292" s="2"/>
    </row>
    <row r="293" spans="5:5" x14ac:dyDescent="0.25">
      <c r="E293" s="2"/>
    </row>
    <row r="294" spans="5:5" x14ac:dyDescent="0.25">
      <c r="E294" s="2"/>
    </row>
    <row r="295" spans="5:5" x14ac:dyDescent="0.25">
      <c r="E295" s="2"/>
    </row>
    <row r="296" spans="5:5" x14ac:dyDescent="0.25">
      <c r="E296" s="2"/>
    </row>
    <row r="297" spans="5:5" x14ac:dyDescent="0.25">
      <c r="E297" s="2"/>
    </row>
    <row r="298" spans="5:5" x14ac:dyDescent="0.25">
      <c r="E298" s="2"/>
    </row>
    <row r="299" spans="5:5" x14ac:dyDescent="0.25">
      <c r="E299" s="2"/>
    </row>
    <row r="300" spans="5:5" x14ac:dyDescent="0.25">
      <c r="E300" s="2"/>
    </row>
    <row r="301" spans="5:5" x14ac:dyDescent="0.25">
      <c r="E301" s="2"/>
    </row>
    <row r="302" spans="5:5" x14ac:dyDescent="0.25">
      <c r="E302" s="2"/>
    </row>
    <row r="303" spans="5:5" x14ac:dyDescent="0.25">
      <c r="E303" s="2"/>
    </row>
    <row r="304" spans="5:5" x14ac:dyDescent="0.25">
      <c r="E304" s="2"/>
    </row>
    <row r="305" spans="5:5" x14ac:dyDescent="0.25">
      <c r="E305" s="2"/>
    </row>
    <row r="306" spans="5:5" x14ac:dyDescent="0.25">
      <c r="E306" s="2"/>
    </row>
    <row r="307" spans="5:5" x14ac:dyDescent="0.25">
      <c r="E307" s="2"/>
    </row>
    <row r="308" spans="5:5" x14ac:dyDescent="0.25">
      <c r="E308" s="2"/>
    </row>
    <row r="309" spans="5:5" x14ac:dyDescent="0.25">
      <c r="E309" s="2"/>
    </row>
    <row r="310" spans="5:5" x14ac:dyDescent="0.25">
      <c r="E310" s="2"/>
    </row>
    <row r="311" spans="5:5" x14ac:dyDescent="0.25">
      <c r="E311" s="2"/>
    </row>
    <row r="312" spans="5:5" x14ac:dyDescent="0.25">
      <c r="E312" s="2"/>
    </row>
    <row r="313" spans="5:5" x14ac:dyDescent="0.25">
      <c r="E313" s="2"/>
    </row>
    <row r="314" spans="5:5" x14ac:dyDescent="0.25">
      <c r="E314" s="2"/>
    </row>
    <row r="315" spans="5:5" x14ac:dyDescent="0.25">
      <c r="E315" s="2"/>
    </row>
    <row r="316" spans="5:5" x14ac:dyDescent="0.25">
      <c r="E316" s="2"/>
    </row>
    <row r="317" spans="5:5" x14ac:dyDescent="0.25">
      <c r="E317" s="2"/>
    </row>
    <row r="318" spans="5:5" x14ac:dyDescent="0.25">
      <c r="E318" s="2"/>
    </row>
    <row r="319" spans="5:5" x14ac:dyDescent="0.25">
      <c r="E319" s="2"/>
    </row>
    <row r="320" spans="5:5" x14ac:dyDescent="0.25">
      <c r="E320" s="2"/>
    </row>
    <row r="321" spans="5:5" x14ac:dyDescent="0.25">
      <c r="E321" s="2"/>
    </row>
    <row r="322" spans="5:5" x14ac:dyDescent="0.25">
      <c r="E322" s="2"/>
    </row>
    <row r="323" spans="5:5" x14ac:dyDescent="0.25">
      <c r="E323" s="2"/>
    </row>
    <row r="324" spans="5:5" x14ac:dyDescent="0.25">
      <c r="E324" s="2"/>
    </row>
    <row r="325" spans="5:5" x14ac:dyDescent="0.25">
      <c r="E325" s="2"/>
    </row>
    <row r="326" spans="5:5" x14ac:dyDescent="0.25">
      <c r="E326" s="2"/>
    </row>
    <row r="327" spans="5:5" x14ac:dyDescent="0.25">
      <c r="E327" s="2"/>
    </row>
    <row r="328" spans="5:5" x14ac:dyDescent="0.25">
      <c r="E328" s="2"/>
    </row>
    <row r="329" spans="5:5" x14ac:dyDescent="0.25">
      <c r="E329" s="2"/>
    </row>
    <row r="330" spans="5:5" x14ac:dyDescent="0.25">
      <c r="E330" s="2"/>
    </row>
    <row r="331" spans="5:5" x14ac:dyDescent="0.25">
      <c r="E331" s="2"/>
    </row>
    <row r="332" spans="5:5" x14ac:dyDescent="0.25">
      <c r="E332" s="2"/>
    </row>
    <row r="333" spans="5:5" x14ac:dyDescent="0.25">
      <c r="E333" s="2"/>
    </row>
    <row r="334" spans="5:5" x14ac:dyDescent="0.25">
      <c r="E334" s="2"/>
    </row>
    <row r="335" spans="5:5" x14ac:dyDescent="0.25">
      <c r="E335" s="2"/>
    </row>
    <row r="336" spans="5:5" x14ac:dyDescent="0.25">
      <c r="E336" s="2"/>
    </row>
    <row r="337" spans="5:5" x14ac:dyDescent="0.25">
      <c r="E337" s="2"/>
    </row>
    <row r="338" spans="5:5" x14ac:dyDescent="0.25">
      <c r="E338" s="2"/>
    </row>
    <row r="339" spans="5:5" x14ac:dyDescent="0.25">
      <c r="E339" s="2"/>
    </row>
    <row r="340" spans="5:5" x14ac:dyDescent="0.25">
      <c r="E340" s="2"/>
    </row>
    <row r="341" spans="5:5" x14ac:dyDescent="0.25">
      <c r="E341" s="2"/>
    </row>
    <row r="342" spans="5:5" x14ac:dyDescent="0.25">
      <c r="E342" s="2"/>
    </row>
    <row r="343" spans="5:5" x14ac:dyDescent="0.25">
      <c r="E343" s="2"/>
    </row>
    <row r="344" spans="5:5" x14ac:dyDescent="0.25">
      <c r="E344" s="2"/>
    </row>
    <row r="345" spans="5:5" x14ac:dyDescent="0.25">
      <c r="E345" s="2"/>
    </row>
    <row r="346" spans="5:5" x14ac:dyDescent="0.25">
      <c r="E346" s="2"/>
    </row>
    <row r="347" spans="5:5" x14ac:dyDescent="0.25">
      <c r="E347" s="2"/>
    </row>
    <row r="348" spans="5:5" x14ac:dyDescent="0.25">
      <c r="E348" s="2"/>
    </row>
    <row r="349" spans="5:5" x14ac:dyDescent="0.25">
      <c r="E349" s="2"/>
    </row>
    <row r="350" spans="5:5" x14ac:dyDescent="0.25">
      <c r="E350" s="2"/>
    </row>
    <row r="351" spans="5:5" x14ac:dyDescent="0.25">
      <c r="E351" s="2"/>
    </row>
    <row r="352" spans="5:5" x14ac:dyDescent="0.25">
      <c r="E352" s="2"/>
    </row>
    <row r="353" spans="5:5" x14ac:dyDescent="0.25">
      <c r="E353" s="2"/>
    </row>
    <row r="354" spans="5:5" x14ac:dyDescent="0.25">
      <c r="E354" s="2"/>
    </row>
    <row r="355" spans="5:5" x14ac:dyDescent="0.25">
      <c r="E355" s="2"/>
    </row>
    <row r="356" spans="5:5" x14ac:dyDescent="0.25">
      <c r="E356" s="2"/>
    </row>
    <row r="357" spans="5:5" x14ac:dyDescent="0.25">
      <c r="E357" s="2"/>
    </row>
    <row r="358" spans="5:5" x14ac:dyDescent="0.25">
      <c r="E358" s="2"/>
    </row>
    <row r="359" spans="5:5" x14ac:dyDescent="0.25">
      <c r="E359" s="2"/>
    </row>
    <row r="360" spans="5:5" x14ac:dyDescent="0.25">
      <c r="E360" s="2"/>
    </row>
    <row r="361" spans="5:5" x14ac:dyDescent="0.25">
      <c r="E361" s="2"/>
    </row>
    <row r="362" spans="5:5" x14ac:dyDescent="0.25">
      <c r="E362" s="2"/>
    </row>
    <row r="363" spans="5:5" x14ac:dyDescent="0.25">
      <c r="E363" s="2"/>
    </row>
    <row r="364" spans="5:5" x14ac:dyDescent="0.25">
      <c r="E364" s="2"/>
    </row>
    <row r="365" spans="5:5" x14ac:dyDescent="0.25">
      <c r="E365" s="2"/>
    </row>
    <row r="366" spans="5:5" x14ac:dyDescent="0.25">
      <c r="E366" s="2"/>
    </row>
    <row r="367" spans="5:5" x14ac:dyDescent="0.25">
      <c r="E367" s="2"/>
    </row>
    <row r="368" spans="5:5" x14ac:dyDescent="0.25">
      <c r="E368" s="2"/>
    </row>
    <row r="369" spans="5:5" x14ac:dyDescent="0.25">
      <c r="E369" s="2"/>
    </row>
    <row r="370" spans="5:5" x14ac:dyDescent="0.25">
      <c r="E370" s="2"/>
    </row>
    <row r="371" spans="5:5" x14ac:dyDescent="0.25">
      <c r="E371" s="2"/>
    </row>
    <row r="372" spans="5:5" x14ac:dyDescent="0.25">
      <c r="E372" s="2"/>
    </row>
    <row r="373" spans="5:5" x14ac:dyDescent="0.25">
      <c r="E373" s="2"/>
    </row>
    <row r="374" spans="5:5" x14ac:dyDescent="0.25">
      <c r="E374" s="2"/>
    </row>
    <row r="375" spans="5:5" x14ac:dyDescent="0.25">
      <c r="E375" s="2"/>
    </row>
    <row r="376" spans="5:5" x14ac:dyDescent="0.25">
      <c r="E376" s="2"/>
    </row>
    <row r="377" spans="5:5" x14ac:dyDescent="0.25">
      <c r="E377" s="2"/>
    </row>
    <row r="378" spans="5:5" x14ac:dyDescent="0.25">
      <c r="E378" s="2"/>
    </row>
    <row r="379" spans="5:5" x14ac:dyDescent="0.25">
      <c r="E379" s="2"/>
    </row>
    <row r="380" spans="5:5" x14ac:dyDescent="0.25">
      <c r="E380" s="2"/>
    </row>
    <row r="381" spans="5:5" x14ac:dyDescent="0.25">
      <c r="E381" s="2"/>
    </row>
    <row r="382" spans="5:5" x14ac:dyDescent="0.25">
      <c r="E382" s="2"/>
    </row>
    <row r="383" spans="5:5" x14ac:dyDescent="0.25">
      <c r="E383" s="2"/>
    </row>
    <row r="384" spans="5:5" x14ac:dyDescent="0.25">
      <c r="E384" s="2"/>
    </row>
    <row r="385" spans="5:5" x14ac:dyDescent="0.25">
      <c r="E385" s="2"/>
    </row>
    <row r="386" spans="5:5" x14ac:dyDescent="0.25">
      <c r="E386" s="2"/>
    </row>
    <row r="387" spans="5:5" x14ac:dyDescent="0.25">
      <c r="E387" s="2"/>
    </row>
    <row r="388" spans="5:5" x14ac:dyDescent="0.25">
      <c r="E388" s="2"/>
    </row>
    <row r="389" spans="5:5" x14ac:dyDescent="0.25">
      <c r="E389" s="2"/>
    </row>
    <row r="390" spans="5:5" x14ac:dyDescent="0.25">
      <c r="E390" s="2"/>
    </row>
    <row r="391" spans="5:5" x14ac:dyDescent="0.25">
      <c r="E391" s="2"/>
    </row>
    <row r="392" spans="5:5" x14ac:dyDescent="0.25">
      <c r="E392" s="2"/>
    </row>
    <row r="393" spans="5:5" x14ac:dyDescent="0.25">
      <c r="E393" s="2"/>
    </row>
    <row r="394" spans="5:5" x14ac:dyDescent="0.25">
      <c r="E394" s="2"/>
    </row>
    <row r="395" spans="5:5" x14ac:dyDescent="0.25">
      <c r="E395" s="2"/>
    </row>
    <row r="396" spans="5:5" x14ac:dyDescent="0.25">
      <c r="E396" s="2"/>
    </row>
    <row r="397" spans="5:5" x14ac:dyDescent="0.25">
      <c r="E397" s="2"/>
    </row>
    <row r="398" spans="5:5" x14ac:dyDescent="0.25">
      <c r="E398" s="2"/>
    </row>
    <row r="399" spans="5:5" x14ac:dyDescent="0.25">
      <c r="E399" s="2"/>
    </row>
    <row r="400" spans="5:5" x14ac:dyDescent="0.25">
      <c r="E400" s="2"/>
    </row>
    <row r="401" spans="5:5" x14ac:dyDescent="0.25">
      <c r="E401" s="2"/>
    </row>
    <row r="402" spans="5:5" x14ac:dyDescent="0.25">
      <c r="E402" s="2"/>
    </row>
    <row r="403" spans="5:5" x14ac:dyDescent="0.25">
      <c r="E403" s="2"/>
    </row>
    <row r="404" spans="5:5" x14ac:dyDescent="0.25">
      <c r="E404" s="2"/>
    </row>
    <row r="405" spans="5:5" x14ac:dyDescent="0.25">
      <c r="E405" s="2"/>
    </row>
    <row r="406" spans="5:5" x14ac:dyDescent="0.25">
      <c r="E406" s="2"/>
    </row>
    <row r="407" spans="5:5" x14ac:dyDescent="0.25">
      <c r="E407" s="2"/>
    </row>
    <row r="408" spans="5:5" x14ac:dyDescent="0.25">
      <c r="E408" s="2"/>
    </row>
    <row r="409" spans="5:5" x14ac:dyDescent="0.25">
      <c r="E409" s="2"/>
    </row>
    <row r="410" spans="5:5" x14ac:dyDescent="0.25">
      <c r="E410" s="2"/>
    </row>
    <row r="411" spans="5:5" x14ac:dyDescent="0.25">
      <c r="E411" s="2"/>
    </row>
    <row r="412" spans="5:5" x14ac:dyDescent="0.25">
      <c r="E412" s="2"/>
    </row>
    <row r="413" spans="5:5" x14ac:dyDescent="0.25">
      <c r="E413" s="2"/>
    </row>
    <row r="414" spans="5:5" x14ac:dyDescent="0.25">
      <c r="E414" s="2"/>
    </row>
    <row r="415" spans="5:5" x14ac:dyDescent="0.25">
      <c r="E415" s="2"/>
    </row>
    <row r="416" spans="5:5" x14ac:dyDescent="0.25">
      <c r="E416" s="2"/>
    </row>
    <row r="417" spans="5:5" x14ac:dyDescent="0.25">
      <c r="E417" s="2"/>
    </row>
    <row r="418" spans="5:5" x14ac:dyDescent="0.25">
      <c r="E418" s="2"/>
    </row>
    <row r="419" spans="5:5" x14ac:dyDescent="0.25">
      <c r="E419" s="2"/>
    </row>
    <row r="420" spans="5:5" x14ac:dyDescent="0.25">
      <c r="E420" s="2"/>
    </row>
    <row r="421" spans="5:5" x14ac:dyDescent="0.25">
      <c r="E421" s="2"/>
    </row>
    <row r="422" spans="5:5" x14ac:dyDescent="0.25">
      <c r="E422" s="2"/>
    </row>
    <row r="423" spans="5:5" x14ac:dyDescent="0.25">
      <c r="E423" s="2"/>
    </row>
    <row r="424" spans="5:5" x14ac:dyDescent="0.25">
      <c r="E424" s="2"/>
    </row>
    <row r="425" spans="5:5" x14ac:dyDescent="0.25">
      <c r="E425" s="2"/>
    </row>
    <row r="426" spans="5:5" x14ac:dyDescent="0.25">
      <c r="E426" s="2"/>
    </row>
    <row r="427" spans="5:5" x14ac:dyDescent="0.25">
      <c r="E427" s="2"/>
    </row>
    <row r="428" spans="5:5" x14ac:dyDescent="0.25">
      <c r="E428" s="2"/>
    </row>
    <row r="429" spans="5:5" x14ac:dyDescent="0.25">
      <c r="E429" s="2"/>
    </row>
    <row r="430" spans="5:5" x14ac:dyDescent="0.25">
      <c r="E430" s="2"/>
    </row>
    <row r="431" spans="5:5" x14ac:dyDescent="0.25">
      <c r="E431" s="2"/>
    </row>
    <row r="432" spans="5:5" x14ac:dyDescent="0.25">
      <c r="E432" s="2"/>
    </row>
    <row r="433" spans="5:5" x14ac:dyDescent="0.25">
      <c r="E433" s="2"/>
    </row>
    <row r="434" spans="5:5" x14ac:dyDescent="0.25">
      <c r="E434" s="2"/>
    </row>
    <row r="435" spans="5:5" x14ac:dyDescent="0.25">
      <c r="E435" s="2"/>
    </row>
    <row r="436" spans="5:5" x14ac:dyDescent="0.25">
      <c r="E436" s="2"/>
    </row>
    <row r="437" spans="5:5" x14ac:dyDescent="0.25">
      <c r="E437" s="2"/>
    </row>
    <row r="438" spans="5:5" x14ac:dyDescent="0.25">
      <c r="E438" s="2"/>
    </row>
    <row r="439" spans="5:5" x14ac:dyDescent="0.25">
      <c r="E439" s="2"/>
    </row>
    <row r="440" spans="5:5" x14ac:dyDescent="0.25">
      <c r="E440" s="2"/>
    </row>
    <row r="441" spans="5:5" x14ac:dyDescent="0.25">
      <c r="E441" s="2"/>
    </row>
    <row r="442" spans="5:5" x14ac:dyDescent="0.25">
      <c r="E442" s="2"/>
    </row>
    <row r="443" spans="5:5" x14ac:dyDescent="0.25">
      <c r="E443" s="2"/>
    </row>
    <row r="444" spans="5:5" x14ac:dyDescent="0.25">
      <c r="E444" s="2"/>
    </row>
    <row r="445" spans="5:5" x14ac:dyDescent="0.25">
      <c r="E445" s="2"/>
    </row>
    <row r="446" spans="5:5" x14ac:dyDescent="0.25">
      <c r="E446" s="2"/>
    </row>
    <row r="447" spans="5:5" x14ac:dyDescent="0.25">
      <c r="E447" s="2"/>
    </row>
    <row r="448" spans="5:5" x14ac:dyDescent="0.25">
      <c r="E448" s="2"/>
    </row>
    <row r="449" spans="5:5" x14ac:dyDescent="0.25">
      <c r="E449" s="2"/>
    </row>
    <row r="450" spans="5:5" x14ac:dyDescent="0.25">
      <c r="E450" s="2"/>
    </row>
    <row r="451" spans="5:5" x14ac:dyDescent="0.25">
      <c r="E451" s="2"/>
    </row>
    <row r="452" spans="5:5" x14ac:dyDescent="0.25">
      <c r="E452" s="2"/>
    </row>
    <row r="453" spans="5:5" x14ac:dyDescent="0.25">
      <c r="E453" s="2"/>
    </row>
    <row r="454" spans="5:5" x14ac:dyDescent="0.25">
      <c r="E454" s="2"/>
    </row>
    <row r="455" spans="5:5" x14ac:dyDescent="0.25">
      <c r="E455" s="2"/>
    </row>
    <row r="456" spans="5:5" x14ac:dyDescent="0.25">
      <c r="E456" s="2"/>
    </row>
    <row r="457" spans="5:5" x14ac:dyDescent="0.25">
      <c r="E457" s="2"/>
    </row>
    <row r="458" spans="5:5" x14ac:dyDescent="0.25">
      <c r="E458" s="2"/>
    </row>
    <row r="459" spans="5:5" x14ac:dyDescent="0.25">
      <c r="E459" s="2"/>
    </row>
    <row r="460" spans="5:5" x14ac:dyDescent="0.25">
      <c r="E460" s="2"/>
    </row>
    <row r="461" spans="5:5" x14ac:dyDescent="0.25">
      <c r="E461" s="2"/>
    </row>
    <row r="462" spans="5:5" x14ac:dyDescent="0.25">
      <c r="E462" s="2"/>
    </row>
    <row r="463" spans="5:5" x14ac:dyDescent="0.25">
      <c r="E463" s="2"/>
    </row>
    <row r="464" spans="5:5" x14ac:dyDescent="0.25">
      <c r="E464" s="2"/>
    </row>
    <row r="465" spans="5:5" x14ac:dyDescent="0.25">
      <c r="E465" s="2"/>
    </row>
    <row r="466" spans="5:5" x14ac:dyDescent="0.25">
      <c r="E466" s="2"/>
    </row>
    <row r="467" spans="5:5" x14ac:dyDescent="0.25">
      <c r="E467" s="2"/>
    </row>
    <row r="468" spans="5:5" x14ac:dyDescent="0.25">
      <c r="E468" s="2"/>
    </row>
    <row r="469" spans="5:5" x14ac:dyDescent="0.25">
      <c r="E469" s="2"/>
    </row>
    <row r="470" spans="5:5" x14ac:dyDescent="0.25">
      <c r="E470" s="2"/>
    </row>
    <row r="471" spans="5:5" x14ac:dyDescent="0.25">
      <c r="E471" s="2"/>
    </row>
    <row r="472" spans="5:5" x14ac:dyDescent="0.25">
      <c r="E472" s="2"/>
    </row>
    <row r="473" spans="5:5" x14ac:dyDescent="0.25">
      <c r="E473" s="2"/>
    </row>
    <row r="474" spans="5:5" x14ac:dyDescent="0.25">
      <c r="E474" s="2"/>
    </row>
    <row r="475" spans="5:5" x14ac:dyDescent="0.25">
      <c r="E475" s="2"/>
    </row>
    <row r="476" spans="5:5" x14ac:dyDescent="0.25">
      <c r="E476" s="2"/>
    </row>
    <row r="477" spans="5:5" x14ac:dyDescent="0.25">
      <c r="E477" s="2"/>
    </row>
    <row r="478" spans="5:5" x14ac:dyDescent="0.25">
      <c r="E478" s="2"/>
    </row>
    <row r="479" spans="5:5" x14ac:dyDescent="0.25">
      <c r="E479" s="2"/>
    </row>
    <row r="480" spans="5:5" x14ac:dyDescent="0.25">
      <c r="E480" s="2"/>
    </row>
    <row r="481" spans="5:5" x14ac:dyDescent="0.25">
      <c r="E481" s="2"/>
    </row>
    <row r="482" spans="5:5" x14ac:dyDescent="0.25">
      <c r="E482" s="2"/>
    </row>
    <row r="483" spans="5:5" x14ac:dyDescent="0.25">
      <c r="E483" s="2"/>
    </row>
    <row r="484" spans="5:5" x14ac:dyDescent="0.25">
      <c r="E484" s="2"/>
    </row>
    <row r="485" spans="5:5" x14ac:dyDescent="0.25">
      <c r="E485" s="2"/>
    </row>
    <row r="486" spans="5:5" x14ac:dyDescent="0.25">
      <c r="E486" s="2"/>
    </row>
    <row r="487" spans="5:5" x14ac:dyDescent="0.25">
      <c r="E487" s="2"/>
    </row>
    <row r="488" spans="5:5" x14ac:dyDescent="0.25">
      <c r="E488" s="2"/>
    </row>
    <row r="489" spans="5:5" x14ac:dyDescent="0.25">
      <c r="E489" s="2"/>
    </row>
    <row r="490" spans="5:5" x14ac:dyDescent="0.25">
      <c r="E490" s="2"/>
    </row>
    <row r="491" spans="5:5" x14ac:dyDescent="0.25">
      <c r="E491" s="2"/>
    </row>
    <row r="492" spans="5:5" x14ac:dyDescent="0.25">
      <c r="E492" s="2"/>
    </row>
    <row r="493" spans="5:5" x14ac:dyDescent="0.25">
      <c r="E493" s="2"/>
    </row>
    <row r="494" spans="5:5" x14ac:dyDescent="0.25">
      <c r="E494" s="2"/>
    </row>
    <row r="495" spans="5:5" x14ac:dyDescent="0.25">
      <c r="E495" s="2"/>
    </row>
    <row r="496" spans="5:5" x14ac:dyDescent="0.25">
      <c r="E496" s="2"/>
    </row>
    <row r="497" spans="5:5" x14ac:dyDescent="0.25">
      <c r="E497" s="2"/>
    </row>
    <row r="498" spans="5:5" x14ac:dyDescent="0.25">
      <c r="E498" s="2"/>
    </row>
    <row r="499" spans="5:5" x14ac:dyDescent="0.25">
      <c r="E499" s="2"/>
    </row>
    <row r="500" spans="5:5" x14ac:dyDescent="0.25">
      <c r="E500" s="2"/>
    </row>
    <row r="501" spans="5:5" x14ac:dyDescent="0.25">
      <c r="E501" s="2"/>
    </row>
    <row r="502" spans="5:5" x14ac:dyDescent="0.25">
      <c r="E502" s="2"/>
    </row>
    <row r="503" spans="5:5" x14ac:dyDescent="0.25">
      <c r="E503" s="2"/>
    </row>
    <row r="504" spans="5:5" x14ac:dyDescent="0.25">
      <c r="E504" s="2"/>
    </row>
    <row r="505" spans="5:5" x14ac:dyDescent="0.25">
      <c r="E505" s="2"/>
    </row>
    <row r="506" spans="5:5" x14ac:dyDescent="0.25">
      <c r="E506" s="2"/>
    </row>
    <row r="507" spans="5:5" x14ac:dyDescent="0.25">
      <c r="E507" s="2"/>
    </row>
    <row r="508" spans="5:5" x14ac:dyDescent="0.25">
      <c r="E508" s="2"/>
    </row>
    <row r="509" spans="5:5" x14ac:dyDescent="0.25">
      <c r="E509" s="2"/>
    </row>
    <row r="510" spans="5:5" x14ac:dyDescent="0.25">
      <c r="E510" s="2"/>
    </row>
    <row r="511" spans="5:5" x14ac:dyDescent="0.25">
      <c r="E511" s="2"/>
    </row>
    <row r="512" spans="5:5" x14ac:dyDescent="0.25">
      <c r="E512" s="2"/>
    </row>
    <row r="513" spans="5:5" x14ac:dyDescent="0.25">
      <c r="E513" s="2"/>
    </row>
    <row r="514" spans="5:5" x14ac:dyDescent="0.25">
      <c r="E514" s="2"/>
    </row>
    <row r="515" spans="5:5" x14ac:dyDescent="0.25">
      <c r="E515" s="2"/>
    </row>
    <row r="516" spans="5:5" x14ac:dyDescent="0.25">
      <c r="E516" s="2"/>
    </row>
    <row r="517" spans="5:5" x14ac:dyDescent="0.25">
      <c r="E517" s="2"/>
    </row>
    <row r="518" spans="5:5" x14ac:dyDescent="0.25">
      <c r="E518" s="2"/>
    </row>
    <row r="519" spans="5:5" x14ac:dyDescent="0.25">
      <c r="E519" s="2"/>
    </row>
    <row r="520" spans="5:5" x14ac:dyDescent="0.25">
      <c r="E520" s="2"/>
    </row>
    <row r="521" spans="5:5" x14ac:dyDescent="0.25">
      <c r="E521" s="2"/>
    </row>
    <row r="522" spans="5:5" x14ac:dyDescent="0.25">
      <c r="E522" s="2"/>
    </row>
    <row r="523" spans="5:5" x14ac:dyDescent="0.25">
      <c r="E523" s="2"/>
    </row>
    <row r="524" spans="5:5" x14ac:dyDescent="0.25">
      <c r="E524" s="2"/>
    </row>
    <row r="525" spans="5:5" x14ac:dyDescent="0.25">
      <c r="E525" s="2"/>
    </row>
    <row r="526" spans="5:5" x14ac:dyDescent="0.25">
      <c r="E526" s="2"/>
    </row>
    <row r="527" spans="5:5" x14ac:dyDescent="0.25">
      <c r="E527" s="2"/>
    </row>
    <row r="528" spans="5:5" x14ac:dyDescent="0.25">
      <c r="E528" s="2"/>
    </row>
    <row r="529" spans="5:5" x14ac:dyDescent="0.25">
      <c r="E529" s="2"/>
    </row>
    <row r="530" spans="5:5" x14ac:dyDescent="0.25">
      <c r="E530" s="2"/>
    </row>
    <row r="531" spans="5:5" x14ac:dyDescent="0.25">
      <c r="E531" s="2"/>
    </row>
    <row r="532" spans="5:5" x14ac:dyDescent="0.25">
      <c r="E532" s="2"/>
    </row>
    <row r="533" spans="5:5" x14ac:dyDescent="0.25">
      <c r="E533" s="2"/>
    </row>
    <row r="534" spans="5:5" x14ac:dyDescent="0.25">
      <c r="E534" s="2"/>
    </row>
    <row r="535" spans="5:5" x14ac:dyDescent="0.25">
      <c r="E535" s="2"/>
    </row>
    <row r="536" spans="5:5" x14ac:dyDescent="0.25">
      <c r="E536" s="2"/>
    </row>
    <row r="537" spans="5:5" x14ac:dyDescent="0.25">
      <c r="E537" s="2"/>
    </row>
    <row r="538" spans="5:5" x14ac:dyDescent="0.25">
      <c r="E538" s="2"/>
    </row>
    <row r="539" spans="5:5" x14ac:dyDescent="0.25">
      <c r="E539" s="2"/>
    </row>
    <row r="540" spans="5:5" x14ac:dyDescent="0.25">
      <c r="E540" s="2"/>
    </row>
    <row r="541" spans="5:5" x14ac:dyDescent="0.25">
      <c r="E541" s="2"/>
    </row>
    <row r="542" spans="5:5" x14ac:dyDescent="0.25">
      <c r="E542" s="2"/>
    </row>
    <row r="543" spans="5:5" x14ac:dyDescent="0.25">
      <c r="E543" s="2"/>
    </row>
    <row r="544" spans="5:5" x14ac:dyDescent="0.25">
      <c r="E544" s="2"/>
    </row>
    <row r="545" spans="5:5" x14ac:dyDescent="0.25">
      <c r="E545" s="2"/>
    </row>
    <row r="546" spans="5:5" x14ac:dyDescent="0.25">
      <c r="E546" s="2"/>
    </row>
    <row r="547" spans="5:5" x14ac:dyDescent="0.25">
      <c r="E547" s="2"/>
    </row>
    <row r="548" spans="5:5" x14ac:dyDescent="0.25">
      <c r="E548" s="2"/>
    </row>
    <row r="549" spans="5:5" x14ac:dyDescent="0.25">
      <c r="E549" s="2"/>
    </row>
    <row r="550" spans="5:5" x14ac:dyDescent="0.25">
      <c r="E550" s="2"/>
    </row>
    <row r="551" spans="5:5" x14ac:dyDescent="0.25">
      <c r="E551" s="2"/>
    </row>
    <row r="552" spans="5:5" x14ac:dyDescent="0.25">
      <c r="E552" s="2"/>
    </row>
    <row r="553" spans="5:5" x14ac:dyDescent="0.25">
      <c r="E553" s="2"/>
    </row>
    <row r="554" spans="5:5" x14ac:dyDescent="0.25">
      <c r="E554" s="2"/>
    </row>
    <row r="555" spans="5:5" x14ac:dyDescent="0.25">
      <c r="E555" s="2"/>
    </row>
    <row r="556" spans="5:5" x14ac:dyDescent="0.25">
      <c r="E556" s="2"/>
    </row>
    <row r="557" spans="5:5" x14ac:dyDescent="0.25">
      <c r="E557" s="2"/>
    </row>
    <row r="558" spans="5:5" x14ac:dyDescent="0.25">
      <c r="E558" s="2"/>
    </row>
    <row r="559" spans="5:5" x14ac:dyDescent="0.25">
      <c r="E559" s="2"/>
    </row>
    <row r="560" spans="5:5" x14ac:dyDescent="0.25">
      <c r="E560" s="2"/>
    </row>
    <row r="561" spans="5:5" x14ac:dyDescent="0.25">
      <c r="E561" s="2"/>
    </row>
    <row r="562" spans="5:5" x14ac:dyDescent="0.25">
      <c r="E562" s="2"/>
    </row>
    <row r="563" spans="5:5" x14ac:dyDescent="0.25">
      <c r="E563" s="2"/>
    </row>
    <row r="564" spans="5:5" x14ac:dyDescent="0.25">
      <c r="E564" s="2"/>
    </row>
    <row r="565" spans="5:5" x14ac:dyDescent="0.25">
      <c r="E565" s="2"/>
    </row>
    <row r="566" spans="5:5" x14ac:dyDescent="0.25">
      <c r="E566" s="2"/>
    </row>
    <row r="567" spans="5:5" x14ac:dyDescent="0.25">
      <c r="E567" s="2"/>
    </row>
    <row r="568" spans="5:5" x14ac:dyDescent="0.25">
      <c r="E568" s="2"/>
    </row>
    <row r="569" spans="5:5" x14ac:dyDescent="0.25">
      <c r="E569" s="2"/>
    </row>
    <row r="570" spans="5:5" x14ac:dyDescent="0.25">
      <c r="E570" s="2"/>
    </row>
    <row r="571" spans="5:5" x14ac:dyDescent="0.25">
      <c r="E571" s="2"/>
    </row>
    <row r="572" spans="5:5" x14ac:dyDescent="0.25">
      <c r="E572" s="2"/>
    </row>
    <row r="573" spans="5:5" x14ac:dyDescent="0.25">
      <c r="E573" s="2"/>
    </row>
    <row r="574" spans="5:5" x14ac:dyDescent="0.25">
      <c r="E574" s="2"/>
    </row>
    <row r="575" spans="5:5" x14ac:dyDescent="0.25">
      <c r="E575" s="2"/>
    </row>
    <row r="576" spans="5:5" x14ac:dyDescent="0.25">
      <c r="E576" s="2"/>
    </row>
    <row r="577" spans="5:5" x14ac:dyDescent="0.25">
      <c r="E577" s="2"/>
    </row>
    <row r="578" spans="5:5" x14ac:dyDescent="0.25">
      <c r="E578" s="2"/>
    </row>
    <row r="579" spans="5:5" x14ac:dyDescent="0.25">
      <c r="E579" s="2"/>
    </row>
    <row r="580" spans="5:5" x14ac:dyDescent="0.25">
      <c r="E580" s="2"/>
    </row>
    <row r="581" spans="5:5" x14ac:dyDescent="0.25">
      <c r="E581" s="2"/>
    </row>
    <row r="582" spans="5:5" x14ac:dyDescent="0.25">
      <c r="E582" s="2"/>
    </row>
    <row r="583" spans="5:5" x14ac:dyDescent="0.25">
      <c r="E583" s="2"/>
    </row>
    <row r="584" spans="5:5" x14ac:dyDescent="0.25">
      <c r="E584" s="2"/>
    </row>
    <row r="585" spans="5:5" x14ac:dyDescent="0.25">
      <c r="E585" s="2"/>
    </row>
    <row r="586" spans="5:5" x14ac:dyDescent="0.25">
      <c r="E586" s="2"/>
    </row>
    <row r="587" spans="5:5" x14ac:dyDescent="0.25">
      <c r="E587" s="2"/>
    </row>
    <row r="588" spans="5:5" x14ac:dyDescent="0.25">
      <c r="E588" s="2"/>
    </row>
    <row r="589" spans="5:5" x14ac:dyDescent="0.25">
      <c r="E589" s="2"/>
    </row>
    <row r="590" spans="5:5" x14ac:dyDescent="0.25">
      <c r="E590" s="2"/>
    </row>
    <row r="591" spans="5:5" x14ac:dyDescent="0.25">
      <c r="E591" s="2"/>
    </row>
    <row r="592" spans="5:5" x14ac:dyDescent="0.25">
      <c r="E592" s="2"/>
    </row>
    <row r="593" spans="5:5" x14ac:dyDescent="0.25">
      <c r="E593" s="2"/>
    </row>
    <row r="594" spans="5:5" x14ac:dyDescent="0.25">
      <c r="E594" s="2"/>
    </row>
    <row r="595" spans="5:5" x14ac:dyDescent="0.25">
      <c r="E595" s="2"/>
    </row>
    <row r="596" spans="5:5" x14ac:dyDescent="0.25">
      <c r="E596" s="2"/>
    </row>
    <row r="597" spans="5:5" x14ac:dyDescent="0.25">
      <c r="E597" s="2"/>
    </row>
    <row r="598" spans="5:5" x14ac:dyDescent="0.25">
      <c r="E598" s="2"/>
    </row>
    <row r="599" spans="5:5" x14ac:dyDescent="0.25">
      <c r="E599" s="2"/>
    </row>
    <row r="600" spans="5:5" x14ac:dyDescent="0.25">
      <c r="E600" s="2"/>
    </row>
    <row r="601" spans="5:5" x14ac:dyDescent="0.25">
      <c r="E601" s="2"/>
    </row>
    <row r="602" spans="5:5" x14ac:dyDescent="0.25">
      <c r="E602" s="2"/>
    </row>
    <row r="603" spans="5:5" x14ac:dyDescent="0.25">
      <c r="E603" s="2"/>
    </row>
    <row r="604" spans="5:5" x14ac:dyDescent="0.25">
      <c r="E604" s="2"/>
    </row>
    <row r="605" spans="5:5" x14ac:dyDescent="0.25">
      <c r="E605" s="2"/>
    </row>
    <row r="606" spans="5:5" x14ac:dyDescent="0.25">
      <c r="E606" s="2"/>
    </row>
    <row r="607" spans="5:5" x14ac:dyDescent="0.25">
      <c r="E607" s="2"/>
    </row>
    <row r="608" spans="5:5" x14ac:dyDescent="0.25">
      <c r="E608" s="2"/>
    </row>
    <row r="609" spans="5:5" x14ac:dyDescent="0.25">
      <c r="E609" s="2"/>
    </row>
    <row r="610" spans="5:5" x14ac:dyDescent="0.25">
      <c r="E610" s="2"/>
    </row>
    <row r="611" spans="5:5" x14ac:dyDescent="0.25">
      <c r="E611" s="2"/>
    </row>
    <row r="612" spans="5:5" x14ac:dyDescent="0.25">
      <c r="E612" s="2"/>
    </row>
    <row r="613" spans="5:5" x14ac:dyDescent="0.25">
      <c r="E613" s="2"/>
    </row>
    <row r="614" spans="5:5" x14ac:dyDescent="0.25">
      <c r="E614" s="2"/>
    </row>
    <row r="615" spans="5:5" x14ac:dyDescent="0.25">
      <c r="E615" s="2"/>
    </row>
    <row r="616" spans="5:5" x14ac:dyDescent="0.25">
      <c r="E616" s="2"/>
    </row>
    <row r="617" spans="5:5" x14ac:dyDescent="0.25">
      <c r="E617" s="2"/>
    </row>
    <row r="618" spans="5:5" x14ac:dyDescent="0.25">
      <c r="E618" s="2"/>
    </row>
    <row r="619" spans="5:5" x14ac:dyDescent="0.25">
      <c r="E619" s="2"/>
    </row>
    <row r="620" spans="5:5" x14ac:dyDescent="0.25">
      <c r="E620" s="2"/>
    </row>
    <row r="621" spans="5:5" x14ac:dyDescent="0.25">
      <c r="E621" s="2"/>
    </row>
    <row r="622" spans="5:5" x14ac:dyDescent="0.25">
      <c r="E622" s="2"/>
    </row>
    <row r="623" spans="5:5" x14ac:dyDescent="0.25">
      <c r="E623" s="2"/>
    </row>
    <row r="624" spans="5:5" x14ac:dyDescent="0.25">
      <c r="E624" s="2"/>
    </row>
    <row r="625" spans="5:5" x14ac:dyDescent="0.25">
      <c r="E625" s="2"/>
    </row>
    <row r="626" spans="5:5" x14ac:dyDescent="0.25">
      <c r="E626" s="2"/>
    </row>
    <row r="627" spans="5:5" x14ac:dyDescent="0.25">
      <c r="E627" s="2"/>
    </row>
    <row r="628" spans="5:5" x14ac:dyDescent="0.25">
      <c r="E628" s="2"/>
    </row>
    <row r="629" spans="5:5" x14ac:dyDescent="0.25">
      <c r="E629" s="2"/>
    </row>
    <row r="630" spans="5:5" x14ac:dyDescent="0.25">
      <c r="E630" s="2"/>
    </row>
    <row r="631" spans="5:5" x14ac:dyDescent="0.25">
      <c r="E631" s="2"/>
    </row>
  </sheetData>
  <mergeCells count="2">
    <mergeCell ref="A2:C2"/>
    <mergeCell ref="A3:R3"/>
  </mergeCells>
  <conditionalFormatting sqref="U121:U136 V143:V1048576">
    <cfRule type="containsText" dxfId="442" priority="5" operator="containsText" text="close">
      <formula>NOT(ISERROR(SEARCH("close",U121)))</formula>
    </cfRule>
    <cfRule type="containsText" dxfId="441" priority="6" operator="containsText" text="open">
      <formula>NOT(ISERROR(SEARCH("open",U121)))</formula>
    </cfRule>
  </conditionalFormatting>
  <conditionalFormatting sqref="U4">
    <cfRule type="containsText" dxfId="440" priority="3" operator="containsText" text="close">
      <formula>NOT(ISERROR(SEARCH("close",U4)))</formula>
    </cfRule>
    <cfRule type="containsText" dxfId="439" priority="4" operator="containsText" text="open">
      <formula>NOT(ISERROR(SEARCH("open",U4)))</formula>
    </cfRule>
  </conditionalFormatting>
  <conditionalFormatting sqref="V4">
    <cfRule type="containsText" dxfId="438" priority="1" operator="containsText" text="close">
      <formula>NOT(ISERROR(SEARCH("close",V4)))</formula>
    </cfRule>
    <cfRule type="containsText" dxfId="437"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5:E141 E143:E631">
      <formula1>INDIRECT(D5)</formula1>
    </dataValidation>
  </dataValidations>
  <pageMargins left="0.11811023622047245" right="0.11811023622047245" top="0.19685039370078741" bottom="0.19685039370078741" header="0" footer="0"/>
  <pageSetup scale="36" fitToHeight="0"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80" zoomScaleNormal="80" workbookViewId="0">
      <selection activeCell="J35" sqref="J35"/>
    </sheetView>
  </sheetViews>
  <sheetFormatPr defaultColWidth="9.140625" defaultRowHeight="12.75" x14ac:dyDescent="0.2"/>
  <cols>
    <col min="1" max="1" width="25.42578125" style="185" customWidth="1"/>
    <col min="2" max="2" width="10.5703125" style="185" customWidth="1"/>
    <col min="3" max="3" width="14.5703125" style="185" customWidth="1"/>
    <col min="4" max="4" width="19.140625" style="186" customWidth="1"/>
    <col min="5" max="5" width="16.28515625" style="184" customWidth="1"/>
    <col min="6" max="6" width="25.5703125" style="184" customWidth="1"/>
    <col min="7" max="7" width="8.7109375" style="184" customWidth="1"/>
    <col min="8" max="8" width="10.28515625" style="176" customWidth="1"/>
    <col min="9" max="9" width="21.28515625" style="176" customWidth="1"/>
    <col min="10" max="10" width="139.28515625" style="176" customWidth="1"/>
    <col min="11" max="11" width="24.42578125" style="176" customWidth="1"/>
    <col min="12" max="12" width="16.28515625" style="176" customWidth="1"/>
    <col min="13" max="13" width="8.42578125" style="176" customWidth="1"/>
    <col min="14" max="14" width="8.28515625" style="176" customWidth="1"/>
    <col min="15" max="15" width="11.5703125" style="176" customWidth="1"/>
    <col min="16" max="16" width="11.28515625" style="176" bestFit="1" customWidth="1"/>
    <col min="17" max="16384" width="9.140625" style="176"/>
  </cols>
  <sheetData>
    <row r="1" spans="1:11" ht="15" x14ac:dyDescent="0.25">
      <c r="A1" s="304" t="s">
        <v>550</v>
      </c>
      <c r="B1" s="305" t="s">
        <v>691</v>
      </c>
      <c r="C1" s="306"/>
      <c r="D1" s="307"/>
    </row>
    <row r="2" spans="1:11" ht="15" x14ac:dyDescent="0.25">
      <c r="A2" s="308" t="s">
        <v>214</v>
      </c>
      <c r="B2" s="309" t="s">
        <v>775</v>
      </c>
      <c r="C2" s="309" t="s">
        <v>803</v>
      </c>
      <c r="D2" s="310" t="s">
        <v>215</v>
      </c>
    </row>
    <row r="3" spans="1:11" ht="15" x14ac:dyDescent="0.25">
      <c r="A3" s="311" t="s">
        <v>768</v>
      </c>
      <c r="B3" s="312"/>
      <c r="C3" s="312">
        <v>9</v>
      </c>
      <c r="D3" s="313">
        <v>9</v>
      </c>
    </row>
    <row r="4" spans="1:11" ht="15" x14ac:dyDescent="0.25">
      <c r="A4" s="311" t="s">
        <v>769</v>
      </c>
      <c r="B4" s="312">
        <v>2</v>
      </c>
      <c r="C4" s="312">
        <v>13</v>
      </c>
      <c r="D4" s="313">
        <v>15</v>
      </c>
    </row>
    <row r="5" spans="1:11" ht="15" x14ac:dyDescent="0.25">
      <c r="A5" s="311" t="s">
        <v>767</v>
      </c>
      <c r="B5" s="312"/>
      <c r="C5" s="312">
        <v>10</v>
      </c>
      <c r="D5" s="313">
        <v>10</v>
      </c>
    </row>
    <row r="6" spans="1:11" ht="15" x14ac:dyDescent="0.25">
      <c r="A6" s="311" t="s">
        <v>770</v>
      </c>
      <c r="B6" s="312"/>
      <c r="C6" s="312">
        <v>8</v>
      </c>
      <c r="D6" s="313">
        <v>8</v>
      </c>
    </row>
    <row r="7" spans="1:11" ht="15" x14ac:dyDescent="0.25">
      <c r="A7" s="314" t="s">
        <v>215</v>
      </c>
      <c r="B7" s="315">
        <v>2</v>
      </c>
      <c r="C7" s="315">
        <v>40</v>
      </c>
      <c r="D7" s="316">
        <v>42</v>
      </c>
    </row>
    <row r="8" spans="1:11" ht="15" x14ac:dyDescent="0.25">
      <c r="A8" s="347"/>
      <c r="B8" s="312"/>
      <c r="C8" s="312"/>
      <c r="D8" s="312"/>
    </row>
    <row r="9" spans="1:11" ht="15" x14ac:dyDescent="0.25">
      <c r="A9" s="347"/>
      <c r="B9" s="312"/>
      <c r="C9" s="312"/>
      <c r="D9" s="312"/>
    </row>
    <row r="11" spans="1:11" ht="13.5" thickBot="1" x14ac:dyDescent="0.25"/>
    <row r="12" spans="1:11" ht="50.1" customHeight="1" thickBot="1" x14ac:dyDescent="0.25">
      <c r="A12" s="290" t="s">
        <v>776</v>
      </c>
      <c r="B12" s="291" t="s">
        <v>10</v>
      </c>
      <c r="C12" s="291" t="s">
        <v>1</v>
      </c>
      <c r="D12" s="291" t="s">
        <v>551</v>
      </c>
      <c r="E12" s="291" t="s">
        <v>582</v>
      </c>
      <c r="F12" s="292" t="s">
        <v>777</v>
      </c>
      <c r="G12" s="292" t="s">
        <v>778</v>
      </c>
      <c r="H12" s="293" t="s">
        <v>5</v>
      </c>
      <c r="I12" s="293" t="s">
        <v>355</v>
      </c>
      <c r="J12" s="288" t="s">
        <v>354</v>
      </c>
      <c r="K12" s="180"/>
    </row>
    <row r="13" spans="1:11" ht="16.5" customHeight="1" x14ac:dyDescent="0.2">
      <c r="A13" s="429" t="s">
        <v>773</v>
      </c>
      <c r="B13" s="429" t="s">
        <v>7</v>
      </c>
      <c r="C13" s="429" t="s">
        <v>19</v>
      </c>
      <c r="D13" s="431" t="s">
        <v>61</v>
      </c>
      <c r="E13" s="431" t="str">
        <f ca="1">IFERROR(OFFSET(Camp_List[P_Code],MATCH(Data_Infrastructure[[#This Row],[Camp]],Camp_List[Camp Name],0)-1,0,1,1),"")</f>
        <v>MMR012CMP039</v>
      </c>
      <c r="F13" s="433" t="s">
        <v>767</v>
      </c>
      <c r="G13" s="433"/>
      <c r="H13" s="365">
        <v>1</v>
      </c>
      <c r="I13" s="366" t="s">
        <v>803</v>
      </c>
      <c r="J13" s="436"/>
      <c r="K13" s="180"/>
    </row>
    <row r="14" spans="1:11" ht="16.5" customHeight="1" x14ac:dyDescent="0.2">
      <c r="A14" s="430" t="s">
        <v>773</v>
      </c>
      <c r="B14" s="430" t="s">
        <v>7</v>
      </c>
      <c r="C14" s="430" t="s">
        <v>19</v>
      </c>
      <c r="D14" s="432" t="s">
        <v>61</v>
      </c>
      <c r="E14" s="431" t="str">
        <f ca="1">IFERROR(OFFSET(Camp_List[P_Code],MATCH(Data_Infrastructure[[#This Row],[Camp]],Camp_List[Camp Name],0)-1,0,1,1),"")</f>
        <v>MMR012CMP039</v>
      </c>
      <c r="F14" s="434" t="s">
        <v>770</v>
      </c>
      <c r="G14" s="434"/>
      <c r="H14" s="294">
        <v>1</v>
      </c>
      <c r="I14" s="296" t="s">
        <v>803</v>
      </c>
      <c r="J14" s="437"/>
      <c r="K14" s="180"/>
    </row>
    <row r="15" spans="1:11" ht="16.5" customHeight="1" x14ac:dyDescent="0.2">
      <c r="A15" s="430" t="s">
        <v>773</v>
      </c>
      <c r="B15" s="430" t="s">
        <v>7</v>
      </c>
      <c r="C15" s="430" t="s">
        <v>19</v>
      </c>
      <c r="D15" s="432" t="s">
        <v>61</v>
      </c>
      <c r="E15" s="431" t="str">
        <f ca="1">IFERROR(OFFSET(Camp_List[P_Code],MATCH(Data_Infrastructure[[#This Row],[Camp]],Camp_List[Camp Name],0)-1,0,1,1),"")</f>
        <v>MMR012CMP039</v>
      </c>
      <c r="F15" s="434" t="s">
        <v>768</v>
      </c>
      <c r="G15" s="434"/>
      <c r="H15" s="294">
        <v>1</v>
      </c>
      <c r="I15" s="296" t="s">
        <v>803</v>
      </c>
      <c r="J15" s="437"/>
      <c r="K15" s="180"/>
    </row>
    <row r="16" spans="1:11" ht="16.5" customHeight="1" x14ac:dyDescent="0.2">
      <c r="A16" s="430" t="s">
        <v>773</v>
      </c>
      <c r="B16" s="430" t="s">
        <v>7</v>
      </c>
      <c r="C16" s="430" t="s">
        <v>19</v>
      </c>
      <c r="D16" s="432" t="s">
        <v>61</v>
      </c>
      <c r="E16" s="431" t="str">
        <f ca="1">IFERROR(OFFSET(Camp_List[P_Code],MATCH(Data_Infrastructure[[#This Row],[Camp]],Camp_List[Camp Name],0)-1,0,1,1),"")</f>
        <v>MMR012CMP039</v>
      </c>
      <c r="F16" s="434" t="s">
        <v>769</v>
      </c>
      <c r="G16" s="434"/>
      <c r="H16" s="294">
        <v>1</v>
      </c>
      <c r="I16" s="296" t="s">
        <v>803</v>
      </c>
      <c r="J16" s="437"/>
      <c r="K16" s="180"/>
    </row>
    <row r="17" spans="1:17" ht="16.5" customHeight="1" x14ac:dyDescent="0.2">
      <c r="A17" s="430" t="s">
        <v>773</v>
      </c>
      <c r="B17" s="430" t="s">
        <v>7</v>
      </c>
      <c r="C17" s="430" t="s">
        <v>19</v>
      </c>
      <c r="D17" s="432" t="s">
        <v>650</v>
      </c>
      <c r="E17" s="431" t="str">
        <f ca="1">IFERROR(OFFSET(Camp_List[P_Code],MATCH(Data_Infrastructure[[#This Row],[Camp]],Camp_List[Camp Name],0)-1,0,1,1),"")</f>
        <v>MMR012CMP113</v>
      </c>
      <c r="F17" s="434" t="s">
        <v>769</v>
      </c>
      <c r="G17" s="434"/>
      <c r="H17" s="297">
        <v>1</v>
      </c>
      <c r="I17" s="435" t="s">
        <v>775</v>
      </c>
      <c r="J17" s="295" t="s">
        <v>774</v>
      </c>
      <c r="K17" s="180"/>
    </row>
    <row r="18" spans="1:17" ht="16.5" customHeight="1" x14ac:dyDescent="0.2">
      <c r="A18" s="430" t="s">
        <v>773</v>
      </c>
      <c r="B18" s="430" t="s">
        <v>7</v>
      </c>
      <c r="C18" s="430" t="s">
        <v>19</v>
      </c>
      <c r="D18" s="432" t="s">
        <v>650</v>
      </c>
      <c r="E18" s="431" t="str">
        <f ca="1">IFERROR(OFFSET(Camp_List[P_Code],MATCH(Data_Infrastructure[[#This Row],[Camp]],Camp_List[Camp Name],0)-1,0,1,1),"")</f>
        <v>MMR012CMP113</v>
      </c>
      <c r="F18" s="432" t="s">
        <v>768</v>
      </c>
      <c r="G18" s="432"/>
      <c r="H18" s="297">
        <v>1</v>
      </c>
      <c r="I18" s="296" t="s">
        <v>803</v>
      </c>
      <c r="J18" s="295" t="s">
        <v>772</v>
      </c>
      <c r="K18" s="180"/>
    </row>
    <row r="19" spans="1:17" ht="16.5" customHeight="1" x14ac:dyDescent="0.25">
      <c r="A19" s="430" t="s">
        <v>773</v>
      </c>
      <c r="B19" s="430" t="s">
        <v>7</v>
      </c>
      <c r="C19" s="430" t="s">
        <v>19</v>
      </c>
      <c r="D19" s="432" t="s">
        <v>651</v>
      </c>
      <c r="E19" s="431" t="str">
        <f ca="1">IFERROR(OFFSET(Camp_List[P_Code],MATCH(Data_Infrastructure[[#This Row],[Camp]],Camp_List[Camp Name],0)-1,0,1,1),"")</f>
        <v>MMR012CMP114</v>
      </c>
      <c r="F19" s="434" t="s">
        <v>769</v>
      </c>
      <c r="G19" s="434"/>
      <c r="H19" s="297">
        <v>1</v>
      </c>
      <c r="I19" s="296" t="s">
        <v>803</v>
      </c>
      <c r="J19" s="295" t="s">
        <v>772</v>
      </c>
      <c r="K19" s="180"/>
      <c r="L19" s="298"/>
      <c r="M19" s="298"/>
      <c r="N19" s="298"/>
      <c r="O19" s="298"/>
      <c r="P19" s="298"/>
      <c r="Q19" s="298"/>
    </row>
    <row r="20" spans="1:17" ht="16.5" customHeight="1" x14ac:dyDescent="0.25">
      <c r="A20" s="430" t="s">
        <v>773</v>
      </c>
      <c r="B20" s="430" t="s">
        <v>7</v>
      </c>
      <c r="C20" s="430" t="s">
        <v>19</v>
      </c>
      <c r="D20" s="432" t="s">
        <v>651</v>
      </c>
      <c r="E20" s="431" t="str">
        <f ca="1">IFERROR(OFFSET(Camp_List[P_Code],MATCH(Data_Infrastructure[[#This Row],[Camp]],Camp_List[Camp Name],0)-1,0,1,1),"")</f>
        <v>MMR012CMP114</v>
      </c>
      <c r="F20" s="434" t="s">
        <v>768</v>
      </c>
      <c r="G20" s="434"/>
      <c r="H20" s="297">
        <v>1</v>
      </c>
      <c r="I20" s="296" t="s">
        <v>803</v>
      </c>
      <c r="J20" s="295" t="s">
        <v>772</v>
      </c>
      <c r="K20" s="180"/>
      <c r="L20" s="298"/>
      <c r="M20" s="298"/>
      <c r="N20" s="298"/>
      <c r="O20" s="298"/>
      <c r="P20" s="298"/>
      <c r="Q20" s="298"/>
    </row>
    <row r="21" spans="1:17" ht="16.5" customHeight="1" x14ac:dyDescent="0.25">
      <c r="A21" s="430" t="s">
        <v>773</v>
      </c>
      <c r="B21" s="430" t="s">
        <v>7</v>
      </c>
      <c r="C21" s="430" t="s">
        <v>19</v>
      </c>
      <c r="D21" s="432" t="s">
        <v>63</v>
      </c>
      <c r="E21" s="431" t="str">
        <f ca="1">IFERROR(OFFSET(Camp_List[P_Code],MATCH(Data_Infrastructure[[#This Row],[Camp]],Camp_List[Camp Name],0)-1,0,1,1),"")</f>
        <v>MMR012CMP041</v>
      </c>
      <c r="F21" s="434" t="s">
        <v>769</v>
      </c>
      <c r="G21" s="434"/>
      <c r="H21" s="294">
        <v>1</v>
      </c>
      <c r="I21" s="435" t="s">
        <v>775</v>
      </c>
      <c r="J21" s="295" t="s">
        <v>774</v>
      </c>
      <c r="K21" s="180"/>
      <c r="L21" s="298"/>
      <c r="M21" s="298"/>
      <c r="N21" s="298"/>
      <c r="O21" s="298"/>
      <c r="P21" s="298"/>
      <c r="Q21" s="298"/>
    </row>
    <row r="22" spans="1:17" ht="16.5" customHeight="1" x14ac:dyDescent="0.25">
      <c r="A22" s="430" t="s">
        <v>773</v>
      </c>
      <c r="B22" s="430" t="s">
        <v>7</v>
      </c>
      <c r="C22" s="430" t="s">
        <v>19</v>
      </c>
      <c r="D22" s="432" t="s">
        <v>63</v>
      </c>
      <c r="E22" s="431" t="str">
        <f ca="1">IFERROR(OFFSET(Camp_List[P_Code],MATCH(Data_Infrastructure[[#This Row],[Camp]],Camp_List[Camp Name],0)-1,0,1,1),"")</f>
        <v>MMR012CMP041</v>
      </c>
      <c r="F22" s="432" t="s">
        <v>768</v>
      </c>
      <c r="G22" s="432"/>
      <c r="H22" s="294">
        <v>1</v>
      </c>
      <c r="I22" s="296" t="s">
        <v>803</v>
      </c>
      <c r="J22" s="295" t="s">
        <v>772</v>
      </c>
      <c r="K22" s="180"/>
      <c r="L22" s="298"/>
      <c r="M22" s="298"/>
      <c r="N22" s="298"/>
      <c r="O22" s="298"/>
      <c r="P22" s="298"/>
      <c r="Q22" s="298"/>
    </row>
    <row r="23" spans="1:17" ht="16.5" customHeight="1" x14ac:dyDescent="0.25">
      <c r="A23" s="430" t="s">
        <v>771</v>
      </c>
      <c r="B23" s="430" t="s">
        <v>7</v>
      </c>
      <c r="C23" s="430" t="s">
        <v>19</v>
      </c>
      <c r="D23" s="432" t="s">
        <v>64</v>
      </c>
      <c r="E23" s="431" t="str">
        <f ca="1">IFERROR(OFFSET(Camp_List[P_Code],MATCH(Data_Infrastructure[[#This Row],[Camp]],Camp_List[Camp Name],0)-1,0,1,1),"")</f>
        <v>MMR012CMP042</v>
      </c>
      <c r="F23" s="434" t="s">
        <v>768</v>
      </c>
      <c r="G23" s="434"/>
      <c r="H23" s="297">
        <v>1</v>
      </c>
      <c r="I23" s="296" t="s">
        <v>803</v>
      </c>
      <c r="J23" s="438"/>
      <c r="K23" s="180"/>
      <c r="L23" s="298"/>
      <c r="M23" s="298"/>
      <c r="N23" s="298"/>
      <c r="O23" s="298"/>
      <c r="P23" s="298"/>
      <c r="Q23" s="298"/>
    </row>
    <row r="24" spans="1:17" ht="16.5" customHeight="1" x14ac:dyDescent="0.25">
      <c r="A24" s="430" t="s">
        <v>771</v>
      </c>
      <c r="B24" s="430" t="s">
        <v>7</v>
      </c>
      <c r="C24" s="430" t="s">
        <v>19</v>
      </c>
      <c r="D24" s="432" t="s">
        <v>64</v>
      </c>
      <c r="E24" s="431" t="str">
        <f ca="1">IFERROR(OFFSET(Camp_List[P_Code],MATCH(Data_Infrastructure[[#This Row],[Camp]],Camp_List[Camp Name],0)-1,0,1,1),"")</f>
        <v>MMR012CMP042</v>
      </c>
      <c r="F24" s="434" t="s">
        <v>769</v>
      </c>
      <c r="G24" s="434" t="s">
        <v>780</v>
      </c>
      <c r="H24" s="297">
        <v>2</v>
      </c>
      <c r="I24" s="296" t="s">
        <v>803</v>
      </c>
      <c r="J24" s="438"/>
      <c r="K24" s="180"/>
      <c r="L24" s="298"/>
      <c r="M24" s="298"/>
      <c r="N24" s="298"/>
      <c r="O24" s="298"/>
      <c r="P24" s="298"/>
      <c r="Q24" s="298"/>
    </row>
    <row r="25" spans="1:17" ht="16.5" customHeight="1" x14ac:dyDescent="0.25">
      <c r="A25" s="430" t="s">
        <v>771</v>
      </c>
      <c r="B25" s="430" t="s">
        <v>7</v>
      </c>
      <c r="C25" s="430" t="s">
        <v>19</v>
      </c>
      <c r="D25" s="432" t="s">
        <v>64</v>
      </c>
      <c r="E25" s="431" t="str">
        <f ca="1">IFERROR(OFFSET(Camp_List[P_Code],MATCH(Data_Infrastructure[[#This Row],[Camp]],Camp_List[Camp Name],0)-1,0,1,1),"")</f>
        <v>MMR012CMP042</v>
      </c>
      <c r="F25" s="434" t="s">
        <v>767</v>
      </c>
      <c r="G25" s="434" t="s">
        <v>780</v>
      </c>
      <c r="H25" s="297">
        <v>2</v>
      </c>
      <c r="I25" s="296" t="s">
        <v>803</v>
      </c>
      <c r="J25" s="438"/>
      <c r="K25" s="180"/>
      <c r="L25" s="298"/>
      <c r="M25" s="298"/>
      <c r="N25" s="298"/>
      <c r="O25" s="298"/>
      <c r="P25" s="298"/>
      <c r="Q25" s="298"/>
    </row>
    <row r="26" spans="1:17" ht="16.5" customHeight="1" x14ac:dyDescent="0.25">
      <c r="A26" s="430" t="s">
        <v>771</v>
      </c>
      <c r="B26" s="430" t="s">
        <v>7</v>
      </c>
      <c r="C26" s="430" t="s">
        <v>19</v>
      </c>
      <c r="D26" s="432" t="s">
        <v>64</v>
      </c>
      <c r="E26" s="431" t="str">
        <f ca="1">IFERROR(OFFSET(Camp_List[P_Code],MATCH(Data_Infrastructure[[#This Row],[Camp]],Camp_List[Camp Name],0)-1,0,1,1),"")</f>
        <v>MMR012CMP042</v>
      </c>
      <c r="F26" s="434" t="s">
        <v>770</v>
      </c>
      <c r="G26" s="434"/>
      <c r="H26" s="297">
        <v>1</v>
      </c>
      <c r="I26" s="296" t="s">
        <v>803</v>
      </c>
      <c r="J26" s="438"/>
      <c r="K26" s="180"/>
      <c r="L26" s="298"/>
      <c r="M26" s="298"/>
      <c r="N26" s="298"/>
    </row>
    <row r="27" spans="1:17" ht="16.5" customHeight="1" x14ac:dyDescent="0.25">
      <c r="A27" s="430" t="s">
        <v>771</v>
      </c>
      <c r="B27" s="430" t="s">
        <v>7</v>
      </c>
      <c r="C27" s="430" t="s">
        <v>19</v>
      </c>
      <c r="D27" s="432" t="s">
        <v>649</v>
      </c>
      <c r="E27" s="431" t="str">
        <f ca="1">IFERROR(OFFSET(Camp_List[P_Code],MATCH(Data_Infrastructure[[#This Row],[Camp]],Camp_List[Camp Name],0)-1,0,1,1),"")</f>
        <v>MMR012CMP092</v>
      </c>
      <c r="F27" s="434" t="s">
        <v>769</v>
      </c>
      <c r="G27" s="434"/>
      <c r="H27" s="297">
        <v>1</v>
      </c>
      <c r="I27" s="296" t="s">
        <v>803</v>
      </c>
      <c r="J27" s="295" t="s">
        <v>772</v>
      </c>
      <c r="K27" s="180"/>
      <c r="L27" s="298"/>
      <c r="M27" s="298"/>
      <c r="N27" s="298"/>
    </row>
    <row r="28" spans="1:17" ht="16.5" customHeight="1" x14ac:dyDescent="0.25">
      <c r="A28" s="430" t="s">
        <v>771</v>
      </c>
      <c r="B28" s="430" t="s">
        <v>7</v>
      </c>
      <c r="C28" s="430" t="s">
        <v>19</v>
      </c>
      <c r="D28" s="432" t="s">
        <v>649</v>
      </c>
      <c r="E28" s="431" t="str">
        <f ca="1">IFERROR(OFFSET(Camp_List[P_Code],MATCH(Data_Infrastructure[[#This Row],[Camp]],Camp_List[Camp Name],0)-1,0,1,1),"")</f>
        <v>MMR012CMP092</v>
      </c>
      <c r="F28" s="434" t="s">
        <v>767</v>
      </c>
      <c r="G28" s="434"/>
      <c r="H28" s="297">
        <v>1</v>
      </c>
      <c r="I28" s="296" t="s">
        <v>803</v>
      </c>
      <c r="J28" s="295" t="s">
        <v>772</v>
      </c>
      <c r="K28" s="180"/>
      <c r="L28" s="298"/>
      <c r="M28" s="298"/>
      <c r="N28" s="298"/>
    </row>
    <row r="29" spans="1:17" ht="16.5" customHeight="1" x14ac:dyDescent="0.25">
      <c r="A29" s="430" t="s">
        <v>771</v>
      </c>
      <c r="B29" s="430" t="s">
        <v>7</v>
      </c>
      <c r="C29" s="430" t="s">
        <v>19</v>
      </c>
      <c r="D29" s="432" t="s">
        <v>649</v>
      </c>
      <c r="E29" s="431" t="str">
        <f ca="1">IFERROR(OFFSET(Camp_List[P_Code],MATCH(Data_Infrastructure[[#This Row],[Camp]],Camp_List[Camp Name],0)-1,0,1,1),"")</f>
        <v>MMR012CMP092</v>
      </c>
      <c r="F29" s="434" t="s">
        <v>768</v>
      </c>
      <c r="G29" s="434"/>
      <c r="H29" s="297">
        <v>1</v>
      </c>
      <c r="I29" s="296" t="s">
        <v>803</v>
      </c>
      <c r="J29" s="295" t="s">
        <v>772</v>
      </c>
      <c r="K29" s="180"/>
      <c r="L29" s="298"/>
      <c r="M29" s="298"/>
      <c r="N29" s="298"/>
    </row>
    <row r="30" spans="1:17" ht="16.5" customHeight="1" x14ac:dyDescent="0.25">
      <c r="A30" s="430" t="s">
        <v>766</v>
      </c>
      <c r="B30" s="430" t="s">
        <v>7</v>
      </c>
      <c r="C30" s="430" t="s">
        <v>19</v>
      </c>
      <c r="D30" s="432" t="s">
        <v>654</v>
      </c>
      <c r="E30" s="431" t="str">
        <f ca="1">IFERROR(OFFSET(Camp_List[P_Code],MATCH(Data_Infrastructure[[#This Row],[Camp]],Camp_List[Camp Name],0)-1,0,1,1),"")</f>
        <v>MMR012CMP098</v>
      </c>
      <c r="F30" s="434" t="s">
        <v>770</v>
      </c>
      <c r="G30" s="434"/>
      <c r="H30" s="297">
        <v>1</v>
      </c>
      <c r="I30" s="299" t="s">
        <v>803</v>
      </c>
      <c r="J30" s="438"/>
      <c r="K30" s="180"/>
      <c r="L30" s="298"/>
      <c r="M30" s="298"/>
    </row>
    <row r="31" spans="1:17" ht="16.5" customHeight="1" x14ac:dyDescent="0.25">
      <c r="A31" s="430" t="s">
        <v>766</v>
      </c>
      <c r="B31" s="430" t="s">
        <v>7</v>
      </c>
      <c r="C31" s="430" t="s">
        <v>19</v>
      </c>
      <c r="D31" s="432" t="s">
        <v>655</v>
      </c>
      <c r="E31" s="431" t="str">
        <f ca="1">IFERROR(OFFSET(Camp_List[P_Code],MATCH(Data_Infrastructure[[#This Row],[Camp]],Camp_List[Camp Name],0)-1,0,1,1),"")</f>
        <v>MMR012CMP115</v>
      </c>
      <c r="F31" s="434" t="s">
        <v>769</v>
      </c>
      <c r="G31" s="434" t="s">
        <v>780</v>
      </c>
      <c r="H31" s="297">
        <v>2</v>
      </c>
      <c r="I31" s="296" t="s">
        <v>803</v>
      </c>
      <c r="J31" s="438"/>
      <c r="K31" s="180"/>
      <c r="L31" s="298"/>
      <c r="M31" s="298"/>
    </row>
    <row r="32" spans="1:17" ht="16.5" customHeight="1" x14ac:dyDescent="0.25">
      <c r="A32" s="430" t="s">
        <v>766</v>
      </c>
      <c r="B32" s="430" t="s">
        <v>7</v>
      </c>
      <c r="C32" s="430" t="s">
        <v>19</v>
      </c>
      <c r="D32" s="432" t="s">
        <v>655</v>
      </c>
      <c r="E32" s="431" t="str">
        <f ca="1">IFERROR(OFFSET(Camp_List[P_Code],MATCH(Data_Infrastructure[[#This Row],[Camp]],Camp_List[Camp Name],0)-1,0,1,1),"")</f>
        <v>MMR012CMP115</v>
      </c>
      <c r="F32" s="434" t="s">
        <v>767</v>
      </c>
      <c r="G32" s="434"/>
      <c r="H32" s="297">
        <v>1</v>
      </c>
      <c r="I32" s="296" t="s">
        <v>803</v>
      </c>
      <c r="J32" s="438"/>
      <c r="K32" s="180"/>
      <c r="L32" s="298"/>
      <c r="M32" s="298"/>
    </row>
    <row r="33" spans="1:13" ht="16.5" customHeight="1" x14ac:dyDescent="0.2">
      <c r="A33" s="430" t="s">
        <v>766</v>
      </c>
      <c r="B33" s="430" t="s">
        <v>7</v>
      </c>
      <c r="C33" s="430" t="s">
        <v>19</v>
      </c>
      <c r="D33" s="432" t="s">
        <v>656</v>
      </c>
      <c r="E33" s="431" t="str">
        <f ca="1">IFERROR(OFFSET(Camp_List[P_Code],MATCH(Data_Infrastructure[[#This Row],[Camp]],Camp_List[Camp Name],0)-1,0,1,1),"")</f>
        <v>MMR012CMP116</v>
      </c>
      <c r="F33" s="434" t="s">
        <v>768</v>
      </c>
      <c r="G33" s="434"/>
      <c r="H33" s="297">
        <v>1</v>
      </c>
      <c r="I33" s="296" t="s">
        <v>803</v>
      </c>
      <c r="J33" s="438"/>
      <c r="K33" s="180"/>
      <c r="L33" s="180"/>
      <c r="M33" s="180"/>
    </row>
    <row r="34" spans="1:13" ht="16.5" customHeight="1" x14ac:dyDescent="0.2">
      <c r="A34" s="430" t="s">
        <v>766</v>
      </c>
      <c r="B34" s="430" t="s">
        <v>7</v>
      </c>
      <c r="C34" s="430" t="s">
        <v>19</v>
      </c>
      <c r="D34" s="432" t="s">
        <v>656</v>
      </c>
      <c r="E34" s="431" t="str">
        <f ca="1">IFERROR(OFFSET(Camp_List[P_Code],MATCH(Data_Infrastructure[[#This Row],[Camp]],Camp_List[Camp Name],0)-1,0,1,1),"")</f>
        <v>MMR012CMP116</v>
      </c>
      <c r="F34" s="434" t="s">
        <v>769</v>
      </c>
      <c r="G34" s="434"/>
      <c r="H34" s="297">
        <v>1</v>
      </c>
      <c r="I34" s="296" t="s">
        <v>803</v>
      </c>
      <c r="J34" s="438"/>
      <c r="K34" s="180"/>
      <c r="L34" s="180"/>
      <c r="M34" s="180"/>
    </row>
    <row r="35" spans="1:13" ht="16.5" customHeight="1" x14ac:dyDescent="0.2">
      <c r="A35" s="430" t="s">
        <v>766</v>
      </c>
      <c r="B35" s="430" t="s">
        <v>7</v>
      </c>
      <c r="C35" s="430" t="s">
        <v>19</v>
      </c>
      <c r="D35" s="432" t="s">
        <v>656</v>
      </c>
      <c r="E35" s="431" t="str">
        <f ca="1">IFERROR(OFFSET(Camp_List[P_Code],MATCH(Data_Infrastructure[[#This Row],[Camp]],Camp_List[Camp Name],0)-1,0,1,1),"")</f>
        <v>MMR012CMP116</v>
      </c>
      <c r="F35" s="434" t="s">
        <v>767</v>
      </c>
      <c r="G35" s="434" t="s">
        <v>781</v>
      </c>
      <c r="H35" s="297">
        <v>4</v>
      </c>
      <c r="I35" s="296" t="s">
        <v>803</v>
      </c>
      <c r="J35" s="438"/>
      <c r="K35" s="180"/>
      <c r="L35" s="180"/>
      <c r="M35" s="180"/>
    </row>
    <row r="36" spans="1:13" ht="16.5" customHeight="1" x14ac:dyDescent="0.2">
      <c r="A36" s="430" t="s">
        <v>766</v>
      </c>
      <c r="B36" s="430" t="s">
        <v>7</v>
      </c>
      <c r="C36" s="430" t="s">
        <v>19</v>
      </c>
      <c r="D36" s="432" t="s">
        <v>656</v>
      </c>
      <c r="E36" s="431" t="str">
        <f ca="1">IFERROR(OFFSET(Camp_List[P_Code],MATCH(Data_Infrastructure[[#This Row],[Camp]],Camp_List[Camp Name],0)-1,0,1,1),"")</f>
        <v>MMR012CMP116</v>
      </c>
      <c r="F36" s="434" t="s">
        <v>770</v>
      </c>
      <c r="G36" s="434" t="s">
        <v>782</v>
      </c>
      <c r="H36" s="297">
        <v>3</v>
      </c>
      <c r="I36" s="296" t="s">
        <v>803</v>
      </c>
      <c r="J36" s="438"/>
    </row>
    <row r="37" spans="1:13" ht="16.5" customHeight="1" x14ac:dyDescent="0.2">
      <c r="A37" s="430" t="s">
        <v>773</v>
      </c>
      <c r="B37" s="430" t="s">
        <v>7</v>
      </c>
      <c r="C37" s="430" t="s">
        <v>19</v>
      </c>
      <c r="D37" s="432" t="s">
        <v>659</v>
      </c>
      <c r="E37" s="431" t="str">
        <f ca="1">IFERROR(OFFSET(Camp_List[P_Code],MATCH(Data_Infrastructure[[#This Row],[Camp]],Camp_List[Camp Name],0)-1,0,1,1),"")</f>
        <v>MMR012CMP111</v>
      </c>
      <c r="F37" s="434" t="s">
        <v>768</v>
      </c>
      <c r="G37" s="434"/>
      <c r="H37" s="294">
        <v>1</v>
      </c>
      <c r="I37" s="296" t="s">
        <v>803</v>
      </c>
      <c r="J37" s="437"/>
    </row>
    <row r="38" spans="1:13" ht="16.5" customHeight="1" x14ac:dyDescent="0.2">
      <c r="A38" s="430" t="s">
        <v>773</v>
      </c>
      <c r="B38" s="430" t="s">
        <v>7</v>
      </c>
      <c r="C38" s="430" t="s">
        <v>19</v>
      </c>
      <c r="D38" s="432" t="s">
        <v>659</v>
      </c>
      <c r="E38" s="431" t="str">
        <f ca="1">IFERROR(OFFSET(Camp_List[P_Code],MATCH(Data_Infrastructure[[#This Row],[Camp]],Camp_List[Camp Name],0)-1,0,1,1),"")</f>
        <v>MMR012CMP111</v>
      </c>
      <c r="F38" s="434" t="s">
        <v>769</v>
      </c>
      <c r="G38" s="434"/>
      <c r="H38" s="294">
        <v>1</v>
      </c>
      <c r="I38" s="296" t="s">
        <v>803</v>
      </c>
      <c r="J38" s="437"/>
    </row>
    <row r="39" spans="1:13" ht="16.5" customHeight="1" x14ac:dyDescent="0.2">
      <c r="A39" s="430" t="s">
        <v>773</v>
      </c>
      <c r="B39" s="430" t="s">
        <v>7</v>
      </c>
      <c r="C39" s="430" t="s">
        <v>19</v>
      </c>
      <c r="D39" s="432" t="s">
        <v>659</v>
      </c>
      <c r="E39" s="431" t="str">
        <f ca="1">IFERROR(OFFSET(Camp_List[P_Code],MATCH(Data_Infrastructure[[#This Row],[Camp]],Camp_List[Camp Name],0)-1,0,1,1),"")</f>
        <v>MMR012CMP111</v>
      </c>
      <c r="F39" s="434" t="s">
        <v>770</v>
      </c>
      <c r="G39" s="434"/>
      <c r="H39" s="294">
        <v>1</v>
      </c>
      <c r="I39" s="296" t="s">
        <v>803</v>
      </c>
      <c r="J39" s="437"/>
    </row>
    <row r="40" spans="1:13" ht="16.5" customHeight="1" x14ac:dyDescent="0.2">
      <c r="A40" s="430" t="s">
        <v>773</v>
      </c>
      <c r="B40" s="430" t="s">
        <v>7</v>
      </c>
      <c r="C40" s="430" t="s">
        <v>19</v>
      </c>
      <c r="D40" s="432" t="s">
        <v>660</v>
      </c>
      <c r="E40" s="431" t="str">
        <f ca="1">IFERROR(OFFSET(Camp_List[P_Code],MATCH(Data_Infrastructure[[#This Row],[Camp]],Camp_List[Camp Name],0)-1,0,1,1),"")</f>
        <v>MMR012CMP112</v>
      </c>
      <c r="F40" s="434" t="s">
        <v>770</v>
      </c>
      <c r="G40" s="434"/>
      <c r="H40" s="294">
        <v>1</v>
      </c>
      <c r="I40" s="296" t="s">
        <v>803</v>
      </c>
      <c r="J40" s="437"/>
    </row>
    <row r="41" spans="1:13" ht="16.5" customHeight="1" x14ac:dyDescent="0.2">
      <c r="A41" s="430" t="s">
        <v>771</v>
      </c>
      <c r="B41" s="430" t="s">
        <v>7</v>
      </c>
      <c r="C41" s="430" t="s">
        <v>19</v>
      </c>
      <c r="D41" s="432" t="s">
        <v>67</v>
      </c>
      <c r="E41" s="431" t="str">
        <f ca="1">IFERROR(OFFSET(Camp_List[P_Code],MATCH(Data_Infrastructure[[#This Row],[Camp]],Camp_List[Camp Name],0)-1,0,1,1),"")</f>
        <v>MMR012CMP045</v>
      </c>
      <c r="F41" s="434" t="s">
        <v>769</v>
      </c>
      <c r="G41" s="434"/>
      <c r="H41" s="297">
        <v>1</v>
      </c>
      <c r="I41" s="296" t="s">
        <v>803</v>
      </c>
      <c r="J41" s="438" t="s">
        <v>783</v>
      </c>
    </row>
    <row r="42" spans="1:13" ht="16.5" customHeight="1" x14ac:dyDescent="0.2">
      <c r="A42" s="430" t="s">
        <v>771</v>
      </c>
      <c r="B42" s="430" t="s">
        <v>7</v>
      </c>
      <c r="C42" s="430" t="s">
        <v>19</v>
      </c>
      <c r="D42" s="432" t="s">
        <v>67</v>
      </c>
      <c r="E42" s="431" t="str">
        <f ca="1">IFERROR(OFFSET(Camp_List[P_Code],MATCH(Data_Infrastructure[[#This Row],[Camp]],Camp_List[Camp Name],0)-1,0,1,1),"")</f>
        <v>MMR012CMP045</v>
      </c>
      <c r="F42" s="434" t="s">
        <v>769</v>
      </c>
      <c r="G42" s="434"/>
      <c r="H42" s="297">
        <v>1</v>
      </c>
      <c r="I42" s="296" t="s">
        <v>803</v>
      </c>
      <c r="J42" s="438" t="s">
        <v>784</v>
      </c>
    </row>
    <row r="43" spans="1:13" ht="16.5" customHeight="1" x14ac:dyDescent="0.2">
      <c r="A43" s="430" t="s">
        <v>771</v>
      </c>
      <c r="B43" s="430" t="s">
        <v>7</v>
      </c>
      <c r="C43" s="430" t="s">
        <v>19</v>
      </c>
      <c r="D43" s="432" t="s">
        <v>70</v>
      </c>
      <c r="E43" s="431" t="str">
        <f ca="1">IFERROR(OFFSET(Camp_List[P_Code],MATCH(Data_Infrastructure[[#This Row],[Camp]],Camp_List[Camp Name],0)-1,0,1,1),"")</f>
        <v>MMR012CMP048</v>
      </c>
      <c r="F43" s="434" t="s">
        <v>768</v>
      </c>
      <c r="G43" s="434"/>
      <c r="H43" s="297">
        <v>1</v>
      </c>
      <c r="I43" s="296" t="s">
        <v>803</v>
      </c>
      <c r="J43" s="438"/>
    </row>
    <row r="44" spans="1:13" ht="16.5" customHeight="1" x14ac:dyDescent="0.2">
      <c r="A44" s="430" t="s">
        <v>771</v>
      </c>
      <c r="B44" s="430" t="s">
        <v>7</v>
      </c>
      <c r="C44" s="430" t="s">
        <v>19</v>
      </c>
      <c r="D44" s="432" t="s">
        <v>70</v>
      </c>
      <c r="E44" s="431" t="str">
        <f ca="1">IFERROR(OFFSET(Camp_List[P_Code],MATCH(Data_Infrastructure[[#This Row],[Camp]],Camp_List[Camp Name],0)-1,0,1,1),"")</f>
        <v>MMR012CMP048</v>
      </c>
      <c r="F44" s="434" t="s">
        <v>769</v>
      </c>
      <c r="G44" s="434" t="s">
        <v>779</v>
      </c>
      <c r="H44" s="297">
        <v>2</v>
      </c>
      <c r="I44" s="296" t="s">
        <v>803</v>
      </c>
      <c r="J44" s="438"/>
    </row>
    <row r="45" spans="1:13" ht="16.5" customHeight="1" x14ac:dyDescent="0.2">
      <c r="A45" s="430" t="s">
        <v>771</v>
      </c>
      <c r="B45" s="430" t="s">
        <v>7</v>
      </c>
      <c r="C45" s="430" t="s">
        <v>19</v>
      </c>
      <c r="D45" s="432" t="s">
        <v>70</v>
      </c>
      <c r="E45" s="431" t="str">
        <f ca="1">IFERROR(OFFSET(Camp_List[P_Code],MATCH(Data_Infrastructure[[#This Row],[Camp]],Camp_List[Camp Name],0)-1,0,1,1),"")</f>
        <v>MMR012CMP048</v>
      </c>
      <c r="F45" s="434" t="s">
        <v>767</v>
      </c>
      <c r="G45" s="434"/>
      <c r="H45" s="297">
        <v>1</v>
      </c>
      <c r="I45" s="296" t="s">
        <v>803</v>
      </c>
      <c r="J45" s="438"/>
    </row>
    <row r="46" spans="1:13" x14ac:dyDescent="0.2">
      <c r="A46" s="182"/>
      <c r="B46" s="182"/>
      <c r="C46" s="182"/>
      <c r="D46" s="183"/>
      <c r="E46" s="182"/>
      <c r="F46" s="182"/>
      <c r="G46" s="182"/>
      <c r="H46" s="181"/>
    </row>
    <row r="47" spans="1:13" x14ac:dyDescent="0.2">
      <c r="G47" s="179"/>
      <c r="H47" s="181"/>
    </row>
    <row r="48" spans="1:13" x14ac:dyDescent="0.2">
      <c r="G48" s="179"/>
      <c r="H48" s="181"/>
    </row>
    <row r="49" spans="1:8" x14ac:dyDescent="0.2">
      <c r="G49" s="179"/>
      <c r="H49" s="181"/>
    </row>
    <row r="50" spans="1:8" x14ac:dyDescent="0.2">
      <c r="G50" s="179"/>
      <c r="H50" s="181"/>
    </row>
    <row r="51" spans="1:8" x14ac:dyDescent="0.2">
      <c r="G51" s="179"/>
      <c r="H51" s="181"/>
    </row>
    <row r="52" spans="1:8" x14ac:dyDescent="0.2">
      <c r="G52" s="179"/>
      <c r="H52" s="181"/>
    </row>
    <row r="53" spans="1:8" x14ac:dyDescent="0.2">
      <c r="G53" s="179"/>
      <c r="H53" s="181"/>
    </row>
    <row r="54" spans="1:8" x14ac:dyDescent="0.2">
      <c r="A54" s="179"/>
      <c r="B54" s="179"/>
      <c r="C54" s="179"/>
      <c r="D54" s="179"/>
      <c r="G54" s="179"/>
      <c r="H54" s="181"/>
    </row>
    <row r="59" spans="1:8" ht="15" x14ac:dyDescent="0.25">
      <c r="A59" s="176"/>
      <c r="B59" s="176"/>
      <c r="C59" s="176"/>
      <c r="D59" s="176"/>
      <c r="E59"/>
      <c r="F59"/>
    </row>
    <row r="60" spans="1:8" ht="15" x14ac:dyDescent="0.25">
      <c r="A60" s="176"/>
      <c r="B60" s="176"/>
      <c r="C60" s="176"/>
      <c r="D60" s="176"/>
      <c r="E60"/>
      <c r="F60"/>
    </row>
    <row r="61" spans="1:8" ht="15" x14ac:dyDescent="0.25">
      <c r="A61" s="176"/>
      <c r="B61" s="176"/>
      <c r="C61" s="176"/>
      <c r="D61" s="176"/>
      <c r="E61"/>
      <c r="F61"/>
    </row>
    <row r="62" spans="1:8" ht="15" x14ac:dyDescent="0.25">
      <c r="A62" s="176"/>
      <c r="B62" s="176"/>
      <c r="C62" s="176"/>
      <c r="D62" s="176"/>
      <c r="E62"/>
      <c r="F62"/>
    </row>
    <row r="63" spans="1:8" ht="15" x14ac:dyDescent="0.25">
      <c r="A63" s="176"/>
      <c r="B63" s="176"/>
      <c r="C63" s="176"/>
      <c r="D63" s="176"/>
      <c r="E63"/>
      <c r="F63"/>
    </row>
    <row r="64" spans="1:8" ht="15" x14ac:dyDescent="0.25">
      <c r="A64" s="176"/>
      <c r="B64" s="176"/>
      <c r="C64" s="176"/>
      <c r="D64" s="176"/>
      <c r="E64"/>
      <c r="F64"/>
    </row>
    <row r="65" spans="1:6" ht="15" x14ac:dyDescent="0.25">
      <c r="A65" s="176"/>
      <c r="B65" s="176"/>
      <c r="C65" s="176"/>
      <c r="D65" s="176"/>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pane="bottomLeft" activeCell="H8" sqref="H8"/>
    </sheetView>
  </sheetViews>
  <sheetFormatPr defaultRowHeight="15" x14ac:dyDescent="0.2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15.5703125" customWidth="1"/>
    <col min="9" max="9" width="13.140625" customWidth="1"/>
    <col min="10" max="10" width="17.5703125" customWidth="1"/>
    <col min="11" max="13" width="13" style="102" customWidth="1"/>
    <col min="14" max="14" width="12.85546875" bestFit="1" customWidth="1"/>
    <col min="15" max="15" width="18.42578125" customWidth="1"/>
    <col min="16" max="16" width="15.85546875" customWidth="1"/>
    <col min="17" max="17" width="8.85546875" customWidth="1"/>
    <col min="18" max="18" width="20.28515625" style="70" customWidth="1"/>
    <col min="19" max="19" width="6.42578125" hidden="1" customWidth="1"/>
    <col min="20" max="20" width="12.42578125" customWidth="1"/>
  </cols>
  <sheetData>
    <row r="1" spans="1:62" s="1" customFormat="1" ht="36" x14ac:dyDescent="0.25">
      <c r="A1" s="207"/>
      <c r="B1" s="208"/>
      <c r="C1" s="208"/>
      <c r="D1" s="208"/>
      <c r="E1" s="208"/>
      <c r="F1" s="208"/>
      <c r="G1" s="208"/>
      <c r="H1" s="208"/>
      <c r="I1" s="208"/>
      <c r="J1" s="208"/>
      <c r="K1" s="208"/>
      <c r="L1" s="208"/>
      <c r="M1" s="208"/>
      <c r="N1" s="208"/>
      <c r="O1" s="208"/>
      <c r="P1" s="208"/>
      <c r="Q1" s="208"/>
      <c r="R1" s="224"/>
      <c r="S1" s="79"/>
      <c r="T1" s="70"/>
      <c r="U1" s="70"/>
      <c r="V1" s="70"/>
      <c r="W1" s="70"/>
      <c r="X1" s="70"/>
      <c r="BI1" s="80"/>
      <c r="BJ1" s="80"/>
    </row>
    <row r="2" spans="1:62" s="1" customFormat="1" ht="56.25" customHeight="1" x14ac:dyDescent="0.25">
      <c r="A2" s="812" t="s">
        <v>224</v>
      </c>
      <c r="B2" s="813"/>
      <c r="C2" s="813"/>
      <c r="D2" s="226"/>
      <c r="E2" s="226"/>
      <c r="F2" s="226"/>
      <c r="G2" s="226"/>
      <c r="H2" s="226"/>
      <c r="I2" s="226"/>
      <c r="J2" s="226"/>
      <c r="K2" s="226"/>
      <c r="L2" s="226"/>
      <c r="M2" s="226"/>
      <c r="N2" s="226"/>
      <c r="O2" s="226"/>
      <c r="P2" s="226"/>
      <c r="Q2" s="226"/>
      <c r="R2" s="227"/>
      <c r="S2" s="79"/>
      <c r="T2" s="70"/>
      <c r="U2" s="70"/>
      <c r="V2" s="70"/>
      <c r="W2" s="70"/>
      <c r="X2" s="70"/>
      <c r="BI2" s="80"/>
      <c r="BJ2" s="80"/>
    </row>
    <row r="3" spans="1:62" s="21" customFormat="1" ht="18" customHeight="1" x14ac:dyDescent="0.25">
      <c r="A3" s="814">
        <f>Report_Date</f>
        <v>42339</v>
      </c>
      <c r="B3" s="815"/>
      <c r="C3" s="815"/>
      <c r="D3" s="815"/>
      <c r="E3" s="815"/>
      <c r="F3" s="815"/>
      <c r="G3" s="815"/>
      <c r="H3" s="815"/>
      <c r="I3" s="815"/>
      <c r="J3" s="815"/>
      <c r="K3" s="815"/>
      <c r="L3" s="815"/>
      <c r="M3" s="815"/>
      <c r="N3" s="815"/>
      <c r="O3" s="815"/>
      <c r="P3" s="815"/>
      <c r="Q3" s="815"/>
      <c r="R3" s="816"/>
      <c r="S3" s="65"/>
      <c r="T3" s="65"/>
      <c r="U3" s="65"/>
      <c r="V3" s="81"/>
      <c r="W3" s="65"/>
      <c r="X3" s="65"/>
      <c r="BI3" s="81"/>
      <c r="BJ3" s="81"/>
    </row>
    <row r="4" spans="1:62" s="21" customFormat="1" ht="36" x14ac:dyDescent="0.25">
      <c r="A4" s="83"/>
      <c r="B4" s="83"/>
      <c r="C4" s="83"/>
      <c r="D4" s="65"/>
      <c r="E4" s="65"/>
      <c r="F4" s="65"/>
      <c r="G4" s="65"/>
      <c r="H4" s="65"/>
      <c r="I4" s="65"/>
      <c r="J4" s="65"/>
      <c r="K4" s="65"/>
      <c r="L4" s="65"/>
      <c r="M4" s="65"/>
      <c r="O4" s="65"/>
      <c r="P4" s="65"/>
      <c r="Q4" s="65"/>
      <c r="R4" s="65"/>
      <c r="S4" s="65"/>
      <c r="T4" s="65"/>
      <c r="U4" s="65"/>
      <c r="V4" s="81"/>
      <c r="W4" s="65"/>
      <c r="X4" s="65"/>
      <c r="BI4" s="81"/>
      <c r="BJ4" s="81"/>
    </row>
    <row r="5" spans="1:62" ht="48.75" customHeight="1" x14ac:dyDescent="0.25">
      <c r="A5" s="109" t="s">
        <v>1</v>
      </c>
      <c r="B5" s="109" t="s">
        <v>225</v>
      </c>
      <c r="C5" s="109" t="s">
        <v>226</v>
      </c>
      <c r="D5" s="109" t="s">
        <v>228</v>
      </c>
      <c r="E5" s="109" t="s">
        <v>222</v>
      </c>
      <c r="F5" s="109" t="s">
        <v>223</v>
      </c>
      <c r="G5" s="109" t="s">
        <v>221</v>
      </c>
      <c r="H5" s="109" t="s">
        <v>969</v>
      </c>
      <c r="I5" s="109" t="s">
        <v>970</v>
      </c>
      <c r="J5" s="109" t="s">
        <v>971</v>
      </c>
      <c r="K5" s="634" t="s">
        <v>969</v>
      </c>
      <c r="L5" s="634" t="s">
        <v>970</v>
      </c>
      <c r="M5" s="634" t="s">
        <v>971</v>
      </c>
      <c r="N5" s="109" t="s">
        <v>229</v>
      </c>
      <c r="O5" s="109" t="s">
        <v>227</v>
      </c>
      <c r="P5" s="18" t="s">
        <v>534</v>
      </c>
      <c r="Q5" s="18" t="s">
        <v>533</v>
      </c>
      <c r="R5" s="18" t="s">
        <v>535</v>
      </c>
      <c r="S5" s="70"/>
    </row>
    <row r="6" spans="1:62" x14ac:dyDescent="0.25">
      <c r="A6" s="31" t="s">
        <v>17</v>
      </c>
      <c r="B6" s="39">
        <f>SUMIF(Camplist_Township,'Shelter Progress'!$A6,Camplist_HH)</f>
        <v>492</v>
      </c>
      <c r="C6" s="39">
        <f>SUMIF(Camplist_Township,'Shelter Progress'!$A6,Camplist_Popl)</f>
        <v>1601</v>
      </c>
      <c r="D6" s="74">
        <f t="shared" ref="D6:D15" si="0">SUMIF(Col_Shelter_Township,$A6,Col_Shelter_Tent_Dist)</f>
        <v>0</v>
      </c>
      <c r="E6" s="74">
        <f t="shared" ref="E6:E15" si="1">SUMIF(Col_Shelter_Township,$A6,Col_Shelter_Temp_B)</f>
        <v>60</v>
      </c>
      <c r="F6" s="74">
        <f t="shared" ref="F6:F15" si="2">SUMIF(Col_Shelter_Township,$A6,Col_Shelter_Temp_U)</f>
        <v>0</v>
      </c>
      <c r="G6" s="74">
        <f t="shared" ref="G6:G15" si="3">SUMIF(Col_Shelter_Township,$A6,Col_Shelter_Temp_P)</f>
        <v>60</v>
      </c>
      <c r="H6" s="74">
        <f>SUMIF(Col_Shelter_Township,$A6,Col_Shelter_Perm_B)</f>
        <v>0</v>
      </c>
      <c r="I6" s="74">
        <f t="shared" ref="I6:I15" si="4">SUMIF(Col_Shelter_Township,$A6,Col_Shelter_Perm_U)</f>
        <v>0</v>
      </c>
      <c r="J6" s="74">
        <f t="shared" ref="J6:J15" si="5">SUMIF(Col_Shelter_Township,$A6,Col_Shelter_Perm_P)</f>
        <v>100</v>
      </c>
      <c r="K6" s="635">
        <f t="shared" ref="K6:K15" si="6">SUMIF(Col_Shelter_Township,$A6,Col_Shelter_Individual_B)</f>
        <v>0</v>
      </c>
      <c r="L6" s="635">
        <f t="shared" ref="L6:L15" si="7">SUMIF(Col_Shelter_Township,$A6,Col_Shelter_Individual_U)</f>
        <v>0</v>
      </c>
      <c r="M6" s="635">
        <f t="shared" ref="M6:M15" si="8">SUMIF(Col_Shelter_Township,$A6,Col_Shelter_Individual_P)</f>
        <v>0</v>
      </c>
      <c r="N6" s="74">
        <f ca="1">SUMIF(Col_Shelter_Township,$A6,Shelter_HH_Covered)</f>
        <v>480</v>
      </c>
      <c r="O6" s="249">
        <f ca="1">N6*S6</f>
        <v>1561.9512195121952</v>
      </c>
      <c r="P6" s="250">
        <f ca="1">B6-N6</f>
        <v>12</v>
      </c>
      <c r="Q6" s="251">
        <f ca="1">N6/B6</f>
        <v>0.97560975609756095</v>
      </c>
      <c r="R6" s="250">
        <f ca="1">MAX(0,C6-O6)</f>
        <v>39.048780487804834</v>
      </c>
      <c r="S6" s="43">
        <f>C6/B6</f>
        <v>3.2540650406504064</v>
      </c>
    </row>
    <row r="7" spans="1:62" x14ac:dyDescent="0.25">
      <c r="A7" s="31" t="s">
        <v>15</v>
      </c>
      <c r="B7" s="39">
        <f>SUMIF(Camplist_Township,'Shelter Progress'!$A7,Camplist_HH)</f>
        <v>1001</v>
      </c>
      <c r="C7" s="39">
        <f>SUMIF(Camplist_Township,'Shelter Progress'!$A7,Camplist_Popl)</f>
        <v>6512</v>
      </c>
      <c r="D7" s="74">
        <f t="shared" si="0"/>
        <v>17</v>
      </c>
      <c r="E7" s="74">
        <f t="shared" si="1"/>
        <v>111</v>
      </c>
      <c r="F7" s="74">
        <f t="shared" si="2"/>
        <v>0</v>
      </c>
      <c r="G7" s="74">
        <f t="shared" si="3"/>
        <v>111</v>
      </c>
      <c r="H7" s="74">
        <f t="shared" ref="H7:H15" si="9">SUMIF(Col_Shelter_Township,$A7,Col_Shelter_Perm_B)</f>
        <v>0</v>
      </c>
      <c r="I7" s="74">
        <f t="shared" si="4"/>
        <v>0</v>
      </c>
      <c r="J7" s="74">
        <f t="shared" si="5"/>
        <v>0</v>
      </c>
      <c r="K7" s="635">
        <f t="shared" si="6"/>
        <v>168</v>
      </c>
      <c r="L7" s="635">
        <f t="shared" si="7"/>
        <v>757</v>
      </c>
      <c r="M7" s="635">
        <f t="shared" si="8"/>
        <v>913</v>
      </c>
      <c r="N7" s="74">
        <f ca="1">SUMIF(Col_Shelter_Township,$A7,Shelter_HH_Covered)</f>
        <v>1056</v>
      </c>
      <c r="O7" s="249">
        <f t="shared" ref="O7:O15" ca="1" si="10">N7*S7</f>
        <v>6869.802197802198</v>
      </c>
      <c r="P7" s="250">
        <f ca="1">B7-N7</f>
        <v>-55</v>
      </c>
      <c r="Q7" s="251">
        <f t="shared" ref="Q7:Q15" ca="1" si="11">N7/B7</f>
        <v>1.054945054945055</v>
      </c>
      <c r="R7" s="250">
        <f t="shared" ref="R7:R15" ca="1" si="12">MAX(0,C7-O7)</f>
        <v>0</v>
      </c>
      <c r="S7" s="43">
        <f>C7/B7</f>
        <v>6.5054945054945055</v>
      </c>
      <c r="U7" s="60"/>
    </row>
    <row r="8" spans="1:62" x14ac:dyDescent="0.25">
      <c r="A8" s="31" t="s">
        <v>20</v>
      </c>
      <c r="B8" s="39">
        <f>SUMIF(Camplist_Township,'Shelter Progress'!$A8,Camplist_HH)</f>
        <v>219</v>
      </c>
      <c r="C8" s="39">
        <f>SUMIF(Camplist_Township,'Shelter Progress'!$A8,Camplist_Popl)</f>
        <v>1400</v>
      </c>
      <c r="D8" s="74">
        <f t="shared" si="0"/>
        <v>0</v>
      </c>
      <c r="E8" s="74">
        <f t="shared" si="1"/>
        <v>0</v>
      </c>
      <c r="F8" s="74">
        <f t="shared" si="2"/>
        <v>0</v>
      </c>
      <c r="G8" s="74">
        <f t="shared" si="3"/>
        <v>0</v>
      </c>
      <c r="H8" s="74">
        <f t="shared" si="9"/>
        <v>554</v>
      </c>
      <c r="I8" s="74">
        <f t="shared" si="4"/>
        <v>0</v>
      </c>
      <c r="J8" s="74">
        <f t="shared" si="5"/>
        <v>554</v>
      </c>
      <c r="K8" s="635">
        <f t="shared" si="6"/>
        <v>0</v>
      </c>
      <c r="L8" s="635">
        <f t="shared" si="7"/>
        <v>0</v>
      </c>
      <c r="M8" s="635">
        <f t="shared" si="8"/>
        <v>0</v>
      </c>
      <c r="N8" s="74">
        <f ca="1">SUMIF(Col_Shelter_Township,$A8,Shelter_HH_Covered)</f>
        <v>0</v>
      </c>
      <c r="O8" s="249">
        <f t="shared" ca="1" si="10"/>
        <v>0</v>
      </c>
      <c r="P8" s="250">
        <f t="shared" ref="P8:P15" ca="1" si="13">B8-N8</f>
        <v>219</v>
      </c>
      <c r="Q8" s="251">
        <f ca="1">N8/B8</f>
        <v>0</v>
      </c>
      <c r="R8" s="250">
        <f t="shared" ca="1" si="12"/>
        <v>1400</v>
      </c>
      <c r="S8" s="43">
        <f t="shared" ref="S8:S16" si="14">C8/B8</f>
        <v>6.3926940639269407</v>
      </c>
      <c r="U8" s="60"/>
    </row>
    <row r="9" spans="1:62" x14ac:dyDescent="0.25">
      <c r="A9" s="216" t="s">
        <v>915</v>
      </c>
      <c r="B9" s="39">
        <f>SUMIF(Camplist_Township,'Shelter Progress'!$A9,Camplist_HH)</f>
        <v>724</v>
      </c>
      <c r="C9" s="39">
        <f>SUMIF(Camplist_Township,'Shelter Progress'!$A9,Camplist_Popl)</f>
        <v>3013</v>
      </c>
      <c r="D9" s="74">
        <f t="shared" si="0"/>
        <v>0</v>
      </c>
      <c r="E9" s="74">
        <f t="shared" si="1"/>
        <v>95</v>
      </c>
      <c r="F9" s="74">
        <f t="shared" si="2"/>
        <v>0</v>
      </c>
      <c r="G9" s="74">
        <f t="shared" si="3"/>
        <v>95</v>
      </c>
      <c r="H9" s="74">
        <f t="shared" si="9"/>
        <v>0</v>
      </c>
      <c r="I9" s="74">
        <f t="shared" si="4"/>
        <v>0</v>
      </c>
      <c r="J9" s="74">
        <f t="shared" si="5"/>
        <v>42</v>
      </c>
      <c r="K9" s="635">
        <f t="shared" si="6"/>
        <v>0</v>
      </c>
      <c r="L9" s="635">
        <f t="shared" si="7"/>
        <v>0</v>
      </c>
      <c r="M9" s="635">
        <f t="shared" si="8"/>
        <v>0</v>
      </c>
      <c r="N9" s="74">
        <f t="shared" ref="N9:N14" ca="1" si="15">SUMIF(Col_Shelter_Township,$A9,Shelter_HH_Covered)</f>
        <v>760</v>
      </c>
      <c r="O9" s="249">
        <f t="shared" ca="1" si="10"/>
        <v>3162.8176795580112</v>
      </c>
      <c r="P9" s="250">
        <f t="shared" ca="1" si="13"/>
        <v>-36</v>
      </c>
      <c r="Q9" s="251">
        <f t="shared" ca="1" si="11"/>
        <v>1.0497237569060773</v>
      </c>
      <c r="R9" s="250">
        <f t="shared" ca="1" si="12"/>
        <v>0</v>
      </c>
      <c r="S9" s="43">
        <f t="shared" si="14"/>
        <v>4.1616022099447516</v>
      </c>
      <c r="U9" s="60"/>
    </row>
    <row r="10" spans="1:62" x14ac:dyDescent="0.25">
      <c r="A10" s="31" t="s">
        <v>11</v>
      </c>
      <c r="B10" s="39">
        <f>SUMIF(Camplist_Township,'Shelter Progress'!$A10,Camplist_HH)</f>
        <v>911</v>
      </c>
      <c r="C10" s="39">
        <f>SUMIF(Camplist_Township,'Shelter Progress'!$A10,Camplist_Popl)</f>
        <v>5638</v>
      </c>
      <c r="D10" s="74">
        <f t="shared" si="0"/>
        <v>0</v>
      </c>
      <c r="E10" s="74">
        <f t="shared" si="1"/>
        <v>84</v>
      </c>
      <c r="F10" s="74">
        <f t="shared" si="2"/>
        <v>0</v>
      </c>
      <c r="G10" s="74">
        <f t="shared" si="3"/>
        <v>84</v>
      </c>
      <c r="H10" s="74">
        <f t="shared" si="9"/>
        <v>22</v>
      </c>
      <c r="I10" s="74">
        <f t="shared" si="4"/>
        <v>0</v>
      </c>
      <c r="J10" s="74">
        <f t="shared" si="5"/>
        <v>22</v>
      </c>
      <c r="K10" s="635">
        <f t="shared" si="6"/>
        <v>451</v>
      </c>
      <c r="L10" s="635">
        <f t="shared" si="7"/>
        <v>0</v>
      </c>
      <c r="M10" s="635">
        <f t="shared" si="8"/>
        <v>898</v>
      </c>
      <c r="N10" s="74">
        <f t="shared" ca="1" si="15"/>
        <v>1141</v>
      </c>
      <c r="O10" s="249">
        <f t="shared" ca="1" si="10"/>
        <v>7061.4248079034023</v>
      </c>
      <c r="P10" s="250">
        <f t="shared" ca="1" si="13"/>
        <v>-230</v>
      </c>
      <c r="Q10" s="251">
        <f t="shared" ca="1" si="11"/>
        <v>1.252469813391877</v>
      </c>
      <c r="R10" s="250">
        <f t="shared" ca="1" si="12"/>
        <v>0</v>
      </c>
      <c r="S10" s="43">
        <f t="shared" si="14"/>
        <v>6.1888035126234904</v>
      </c>
      <c r="U10" s="60"/>
    </row>
    <row r="11" spans="1:62" x14ac:dyDescent="0.25">
      <c r="A11" s="31" t="s">
        <v>12</v>
      </c>
      <c r="B11" s="39">
        <f>SUMIF(Camplist_Township,'Shelter Progress'!$A11,Camplist_HH)</f>
        <v>610</v>
      </c>
      <c r="C11" s="39">
        <f>SUMIF(Camplist_Township,'Shelter Progress'!$A11,Camplist_Popl)</f>
        <v>3826</v>
      </c>
      <c r="D11" s="74">
        <f t="shared" si="0"/>
        <v>0</v>
      </c>
      <c r="E11" s="74">
        <f t="shared" si="1"/>
        <v>72</v>
      </c>
      <c r="F11" s="74">
        <f t="shared" si="2"/>
        <v>0</v>
      </c>
      <c r="G11" s="74">
        <f t="shared" si="3"/>
        <v>72</v>
      </c>
      <c r="H11" s="74">
        <f t="shared" si="9"/>
        <v>42</v>
      </c>
      <c r="I11" s="74">
        <f t="shared" si="4"/>
        <v>0</v>
      </c>
      <c r="J11" s="74">
        <f t="shared" si="5"/>
        <v>42</v>
      </c>
      <c r="K11" s="635">
        <f t="shared" si="6"/>
        <v>284</v>
      </c>
      <c r="L11" s="635">
        <f t="shared" si="7"/>
        <v>0</v>
      </c>
      <c r="M11" s="635">
        <f t="shared" si="8"/>
        <v>569</v>
      </c>
      <c r="N11" s="74">
        <f t="shared" ca="1" si="15"/>
        <v>902</v>
      </c>
      <c r="O11" s="249">
        <f t="shared" ca="1" si="10"/>
        <v>5657.4622950819676</v>
      </c>
      <c r="P11" s="250">
        <f t="shared" ca="1" si="13"/>
        <v>-292</v>
      </c>
      <c r="Q11" s="251">
        <f t="shared" ca="1" si="11"/>
        <v>1.478688524590164</v>
      </c>
      <c r="R11" s="250">
        <f t="shared" ca="1" si="12"/>
        <v>0</v>
      </c>
      <c r="S11" s="43">
        <f t="shared" si="14"/>
        <v>6.2721311475409838</v>
      </c>
      <c r="U11" s="60"/>
    </row>
    <row r="12" spans="1:62" x14ac:dyDescent="0.25">
      <c r="A12" s="216" t="s">
        <v>14</v>
      </c>
      <c r="B12" s="39">
        <f>SUMIF(Camplist_Township,'Shelter Progress'!$A12,Camplist_HH)</f>
        <v>4684</v>
      </c>
      <c r="C12" s="39">
        <f>SUMIF(Camplist_Township,'Shelter Progress'!$A12,Camplist_Popl)</f>
        <v>19545</v>
      </c>
      <c r="D12" s="74">
        <f t="shared" si="0"/>
        <v>110</v>
      </c>
      <c r="E12" s="74">
        <f t="shared" si="1"/>
        <v>481</v>
      </c>
      <c r="F12" s="74">
        <f t="shared" si="2"/>
        <v>0</v>
      </c>
      <c r="G12" s="74">
        <f t="shared" si="3"/>
        <v>481</v>
      </c>
      <c r="H12" s="74">
        <f t="shared" si="9"/>
        <v>21</v>
      </c>
      <c r="I12" s="74">
        <f t="shared" si="4"/>
        <v>0</v>
      </c>
      <c r="J12" s="74">
        <f t="shared" si="5"/>
        <v>21</v>
      </c>
      <c r="K12" s="635">
        <f t="shared" si="6"/>
        <v>772</v>
      </c>
      <c r="L12" s="635">
        <f t="shared" si="7"/>
        <v>248</v>
      </c>
      <c r="M12" s="635">
        <f t="shared" si="8"/>
        <v>2329</v>
      </c>
      <c r="N12" s="74">
        <f ca="1">SUMIF(Col_Shelter_Township,$A12,Shelter_HH_Covered)</f>
        <v>4647</v>
      </c>
      <c r="O12" s="249">
        <f t="shared" ca="1" si="10"/>
        <v>19390.609521776259</v>
      </c>
      <c r="P12" s="250">
        <f t="shared" ca="1" si="13"/>
        <v>37</v>
      </c>
      <c r="Q12" s="251">
        <f t="shared" ca="1" si="11"/>
        <v>0.99210076857386853</v>
      </c>
      <c r="R12" s="250">
        <f t="shared" ca="1" si="12"/>
        <v>154.3904782237405</v>
      </c>
      <c r="S12" s="43">
        <f t="shared" si="14"/>
        <v>4.1727156276686594</v>
      </c>
      <c r="U12" s="60"/>
    </row>
    <row r="13" spans="1:62" x14ac:dyDescent="0.25">
      <c r="A13" s="31" t="s">
        <v>18</v>
      </c>
      <c r="B13" s="39">
        <f>SUMIF(Camplist_Township,'Shelter Progress'!$A13,Camplist_HH)</f>
        <v>78</v>
      </c>
      <c r="C13" s="39">
        <f>SUMIF(Camplist_Township,'Shelter Progress'!$A13,Camplist_Popl)</f>
        <v>264</v>
      </c>
      <c r="D13" s="74">
        <f t="shared" si="0"/>
        <v>0</v>
      </c>
      <c r="E13" s="74">
        <f t="shared" si="1"/>
        <v>12</v>
      </c>
      <c r="F13" s="74">
        <f t="shared" si="2"/>
        <v>0</v>
      </c>
      <c r="G13" s="74">
        <f t="shared" si="3"/>
        <v>12</v>
      </c>
      <c r="H13" s="74">
        <f t="shared" si="9"/>
        <v>0</v>
      </c>
      <c r="I13" s="74">
        <f t="shared" si="4"/>
        <v>0</v>
      </c>
      <c r="J13" s="74">
        <f t="shared" si="5"/>
        <v>62</v>
      </c>
      <c r="K13" s="635">
        <f t="shared" si="6"/>
        <v>0</v>
      </c>
      <c r="L13" s="635">
        <f t="shared" si="7"/>
        <v>0</v>
      </c>
      <c r="M13" s="635">
        <f t="shared" si="8"/>
        <v>0</v>
      </c>
      <c r="N13" s="74">
        <f t="shared" ca="1" si="15"/>
        <v>96</v>
      </c>
      <c r="O13" s="249">
        <f t="shared" ca="1" si="10"/>
        <v>324.92307692307691</v>
      </c>
      <c r="P13" s="250">
        <f t="shared" ca="1" si="13"/>
        <v>-18</v>
      </c>
      <c r="Q13" s="251">
        <f t="shared" ca="1" si="11"/>
        <v>1.2307692307692308</v>
      </c>
      <c r="R13" s="250">
        <f t="shared" ca="1" si="12"/>
        <v>0</v>
      </c>
      <c r="S13" s="43">
        <f t="shared" si="14"/>
        <v>3.3846153846153846</v>
      </c>
      <c r="U13" s="60"/>
    </row>
    <row r="14" spans="1:62" x14ac:dyDescent="0.25">
      <c r="A14" s="31" t="s">
        <v>16</v>
      </c>
      <c r="B14" s="39">
        <f>SUMIF(Camplist_Township,'Shelter Progress'!$A14,Camplist_HH)</f>
        <v>747</v>
      </c>
      <c r="C14" s="39">
        <f>SUMIF(Camplist_Township,'Shelter Progress'!$A14,Camplist_Popl)</f>
        <v>4055</v>
      </c>
      <c r="D14" s="74">
        <f t="shared" si="0"/>
        <v>0</v>
      </c>
      <c r="E14" s="74">
        <f t="shared" si="1"/>
        <v>64</v>
      </c>
      <c r="F14" s="74">
        <f t="shared" si="2"/>
        <v>0</v>
      </c>
      <c r="G14" s="74">
        <f t="shared" si="3"/>
        <v>64</v>
      </c>
      <c r="H14" s="74">
        <f t="shared" si="9"/>
        <v>0</v>
      </c>
      <c r="I14" s="74">
        <f t="shared" si="4"/>
        <v>0</v>
      </c>
      <c r="J14" s="74">
        <f t="shared" si="5"/>
        <v>0</v>
      </c>
      <c r="K14" s="635">
        <f t="shared" si="6"/>
        <v>88</v>
      </c>
      <c r="L14" s="635">
        <f t="shared" si="7"/>
        <v>0</v>
      </c>
      <c r="M14" s="635">
        <f t="shared" si="8"/>
        <v>88</v>
      </c>
      <c r="N14" s="74">
        <f t="shared" ca="1" si="15"/>
        <v>600</v>
      </c>
      <c r="O14" s="249">
        <f t="shared" ca="1" si="10"/>
        <v>3257.0281124497992</v>
      </c>
      <c r="P14" s="250">
        <f t="shared" ca="1" si="13"/>
        <v>147</v>
      </c>
      <c r="Q14" s="251">
        <f t="shared" ca="1" si="11"/>
        <v>0.80321285140562249</v>
      </c>
      <c r="R14" s="250">
        <f t="shared" ca="1" si="12"/>
        <v>797.97188755020079</v>
      </c>
      <c r="S14" s="43">
        <f t="shared" si="14"/>
        <v>5.428380187416332</v>
      </c>
      <c r="U14" s="60"/>
    </row>
    <row r="15" spans="1:62" x14ac:dyDescent="0.25">
      <c r="A15" s="31" t="s">
        <v>19</v>
      </c>
      <c r="B15" s="39">
        <f>SUMIF(Camplist_Township,'Shelter Progress'!$A15,Camplist_HH)</f>
        <v>18549</v>
      </c>
      <c r="C15" s="39">
        <f>SUMIF(Camplist_Township,'Shelter Progress'!$A15,Camplist_Popl)</f>
        <v>99208</v>
      </c>
      <c r="D15" s="74">
        <f t="shared" si="0"/>
        <v>0</v>
      </c>
      <c r="E15" s="74">
        <f t="shared" si="1"/>
        <v>1860</v>
      </c>
      <c r="F15" s="74">
        <f t="shared" si="2"/>
        <v>0</v>
      </c>
      <c r="G15" s="74">
        <f t="shared" si="3"/>
        <v>1860</v>
      </c>
      <c r="H15" s="74">
        <f t="shared" si="9"/>
        <v>741</v>
      </c>
      <c r="I15" s="74">
        <f t="shared" si="4"/>
        <v>0</v>
      </c>
      <c r="J15" s="74">
        <f t="shared" si="5"/>
        <v>741</v>
      </c>
      <c r="K15" s="635">
        <f t="shared" si="6"/>
        <v>0</v>
      </c>
      <c r="L15" s="635">
        <f t="shared" si="7"/>
        <v>0</v>
      </c>
      <c r="M15" s="635">
        <f t="shared" si="8"/>
        <v>151</v>
      </c>
      <c r="N15" s="74">
        <f ca="1">SUMIF(Col_Shelter_Township,$A15,Shelter_HH_Covered)</f>
        <v>16065</v>
      </c>
      <c r="O15" s="249">
        <f t="shared" ca="1" si="10"/>
        <v>85922.503639010189</v>
      </c>
      <c r="P15" s="250">
        <f t="shared" ca="1" si="13"/>
        <v>2484</v>
      </c>
      <c r="Q15" s="251">
        <f t="shared" ca="1" si="11"/>
        <v>0.86608442503639005</v>
      </c>
      <c r="R15" s="250">
        <f t="shared" ca="1" si="12"/>
        <v>13285.496360989811</v>
      </c>
      <c r="S15" s="136">
        <f t="shared" si="14"/>
        <v>5.3484284867108736</v>
      </c>
      <c r="U15" s="60"/>
    </row>
    <row r="16" spans="1:62" x14ac:dyDescent="0.25">
      <c r="A16" s="13" t="s">
        <v>5</v>
      </c>
      <c r="B16" s="75">
        <f t="shared" ref="B16:P16" si="16">SUM(B6:B15)</f>
        <v>28015</v>
      </c>
      <c r="C16" s="75">
        <f t="shared" si="16"/>
        <v>145062</v>
      </c>
      <c r="D16" s="75">
        <f t="shared" si="16"/>
        <v>127</v>
      </c>
      <c r="E16" s="75">
        <f t="shared" si="16"/>
        <v>2839</v>
      </c>
      <c r="F16" s="75">
        <f t="shared" si="16"/>
        <v>0</v>
      </c>
      <c r="G16" s="75">
        <f t="shared" si="16"/>
        <v>2839</v>
      </c>
      <c r="H16" s="75">
        <f t="shared" si="16"/>
        <v>1380</v>
      </c>
      <c r="I16" s="75">
        <f t="shared" si="16"/>
        <v>0</v>
      </c>
      <c r="J16" s="75">
        <f t="shared" si="16"/>
        <v>1584</v>
      </c>
      <c r="K16" s="636">
        <f>SUM(K6:K15)</f>
        <v>1763</v>
      </c>
      <c r="L16" s="636">
        <f t="shared" si="16"/>
        <v>1005</v>
      </c>
      <c r="M16" s="636">
        <f t="shared" si="16"/>
        <v>4948</v>
      </c>
      <c r="N16" s="75">
        <f t="shared" ca="1" si="16"/>
        <v>25747</v>
      </c>
      <c r="O16" s="75">
        <f t="shared" ca="1" si="16"/>
        <v>133208.52255001711</v>
      </c>
      <c r="P16" s="76">
        <f t="shared" ca="1" si="16"/>
        <v>2268</v>
      </c>
      <c r="Q16" s="73">
        <f ca="1">N16/B16</f>
        <v>0.91904336962341604</v>
      </c>
      <c r="R16" s="76">
        <f ca="1">SUM(R6:R15)</f>
        <v>15676.907507251557</v>
      </c>
      <c r="S16" s="43">
        <f t="shared" si="14"/>
        <v>5.1780117794038905</v>
      </c>
    </row>
    <row r="17" spans="19:19" x14ac:dyDescent="0.25">
      <c r="S17" s="43"/>
    </row>
    <row r="35" spans="1:18" s="70" customFormat="1" x14ac:dyDescent="0.25">
      <c r="A35"/>
      <c r="B35"/>
      <c r="C35"/>
      <c r="D35"/>
      <c r="E35"/>
      <c r="F35"/>
      <c r="G35"/>
      <c r="H35"/>
      <c r="I35"/>
      <c r="J35"/>
      <c r="K35" s="102"/>
      <c r="L35" s="102"/>
      <c r="M35" s="102"/>
      <c r="N35"/>
      <c r="O35"/>
      <c r="P35"/>
      <c r="Q35"/>
    </row>
    <row r="36" spans="1:18" x14ac:dyDescent="0.25">
      <c r="A36" s="70"/>
      <c r="B36" s="70"/>
      <c r="C36" s="70"/>
      <c r="D36" s="70"/>
      <c r="E36" s="70"/>
      <c r="F36" s="70"/>
      <c r="G36" s="70"/>
      <c r="H36" s="70"/>
      <c r="I36" s="70"/>
      <c r="J36" s="70"/>
      <c r="N36" s="70"/>
      <c r="O36" s="70"/>
      <c r="P36" s="70"/>
      <c r="Q36" s="70"/>
    </row>
    <row r="39" spans="1:18" x14ac:dyDescent="0.25">
      <c r="A39" s="220" t="s">
        <v>10</v>
      </c>
      <c r="B39" s="31" t="s">
        <v>7</v>
      </c>
      <c r="H39" s="220" t="s">
        <v>10</v>
      </c>
      <c r="I39" s="217" t="s">
        <v>7</v>
      </c>
      <c r="J39" s="70"/>
      <c r="R39"/>
    </row>
    <row r="40" spans="1:18" x14ac:dyDescent="0.25">
      <c r="H40" s="70"/>
      <c r="I40" s="70"/>
      <c r="J40" s="70"/>
      <c r="R40"/>
    </row>
    <row r="41" spans="1:18" x14ac:dyDescent="0.25">
      <c r="A41" s="220" t="s">
        <v>214</v>
      </c>
      <c r="B41" s="217" t="s">
        <v>849</v>
      </c>
      <c r="R41"/>
    </row>
    <row r="42" spans="1:18" x14ac:dyDescent="0.25">
      <c r="A42" s="749" t="s">
        <v>296</v>
      </c>
      <c r="B42" s="135">
        <v>1309</v>
      </c>
      <c r="R42"/>
    </row>
    <row r="43" spans="1:18" x14ac:dyDescent="0.25">
      <c r="A43" s="748" t="s">
        <v>288</v>
      </c>
      <c r="B43" s="133">
        <v>647</v>
      </c>
      <c r="R43"/>
    </row>
    <row r="44" spans="1:18" x14ac:dyDescent="0.25">
      <c r="A44" s="748" t="s">
        <v>291</v>
      </c>
      <c r="B44" s="133">
        <v>229</v>
      </c>
      <c r="R44"/>
    </row>
    <row r="45" spans="1:18" x14ac:dyDescent="0.25">
      <c r="A45" s="748" t="s">
        <v>455</v>
      </c>
      <c r="B45" s="133">
        <v>224</v>
      </c>
      <c r="R45"/>
    </row>
    <row r="46" spans="1:18" x14ac:dyDescent="0.25">
      <c r="A46" s="748" t="s">
        <v>642</v>
      </c>
      <c r="B46" s="133">
        <v>201</v>
      </c>
      <c r="R46"/>
    </row>
    <row r="47" spans="1:18" x14ac:dyDescent="0.25">
      <c r="A47" s="748" t="s">
        <v>297</v>
      </c>
      <c r="B47" s="133">
        <v>60</v>
      </c>
      <c r="R47"/>
    </row>
    <row r="48" spans="1:18" x14ac:dyDescent="0.25">
      <c r="A48" s="748" t="s">
        <v>300</v>
      </c>
      <c r="B48" s="133">
        <v>40</v>
      </c>
      <c r="R48"/>
    </row>
    <row r="49" spans="1:18" x14ac:dyDescent="0.25">
      <c r="A49" s="748" t="s">
        <v>299</v>
      </c>
      <c r="B49" s="133">
        <v>40</v>
      </c>
      <c r="R49"/>
    </row>
    <row r="50" spans="1:18" x14ac:dyDescent="0.25">
      <c r="A50" s="748" t="s">
        <v>301</v>
      </c>
      <c r="B50" s="133">
        <v>38</v>
      </c>
      <c r="R50"/>
    </row>
    <row r="51" spans="1:18" x14ac:dyDescent="0.25">
      <c r="A51" s="748" t="s">
        <v>298</v>
      </c>
      <c r="B51" s="133">
        <v>32</v>
      </c>
      <c r="R51"/>
    </row>
    <row r="52" spans="1:18" x14ac:dyDescent="0.25">
      <c r="A52" s="748" t="s">
        <v>581</v>
      </c>
      <c r="B52" s="133">
        <v>19</v>
      </c>
      <c r="R52"/>
    </row>
    <row r="53" spans="1:18" x14ac:dyDescent="0.25">
      <c r="A53" s="749" t="s">
        <v>215</v>
      </c>
      <c r="B53" s="135">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1" fitToHeight="2"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topLeftCell="A22" zoomScale="80" zoomScaleNormal="80" workbookViewId="0">
      <selection activeCell="B36" sqref="B36"/>
    </sheetView>
  </sheetViews>
  <sheetFormatPr defaultColWidth="9.140625" defaultRowHeight="15" x14ac:dyDescent="0.25"/>
  <cols>
    <col min="1" max="1" width="19.42578125" style="58" customWidth="1"/>
    <col min="2" max="2" width="38.85546875" style="58" customWidth="1"/>
    <col min="3" max="3" width="25.140625" style="58" customWidth="1"/>
    <col min="4" max="4" width="21.28515625" style="58" customWidth="1"/>
    <col min="5" max="5" width="32.140625" style="58" customWidth="1"/>
    <col min="6" max="6" width="10" style="58" customWidth="1"/>
    <col min="7" max="7" width="7.7109375" style="58" customWidth="1"/>
    <col min="8" max="8" width="11" style="58" customWidth="1"/>
    <col min="9" max="9" width="19.7109375" style="58" customWidth="1"/>
    <col min="10" max="16384" width="9.140625" style="58"/>
  </cols>
  <sheetData>
    <row r="1" spans="1:59" s="1" customFormat="1" ht="36" x14ac:dyDescent="0.25">
      <c r="A1" s="207"/>
      <c r="B1" s="208"/>
      <c r="C1" s="208"/>
      <c r="D1" s="208"/>
      <c r="E1" s="208"/>
      <c r="F1" s="224"/>
      <c r="BF1" s="80"/>
      <c r="BG1" s="80"/>
    </row>
    <row r="2" spans="1:59" s="1" customFormat="1" ht="67.5" customHeight="1" x14ac:dyDescent="0.25">
      <c r="A2" s="766" t="s">
        <v>313</v>
      </c>
      <c r="B2" s="767"/>
      <c r="C2" s="767"/>
      <c r="D2" s="79"/>
      <c r="E2" s="79"/>
      <c r="F2" s="232"/>
      <c r="BF2" s="80"/>
      <c r="BG2" s="80"/>
    </row>
    <row r="3" spans="1:59" s="21" customFormat="1" ht="18" customHeight="1" x14ac:dyDescent="0.25">
      <c r="A3" s="768">
        <f>Report_Date</f>
        <v>42339</v>
      </c>
      <c r="B3" s="769"/>
      <c r="C3" s="769"/>
      <c r="D3" s="769"/>
      <c r="E3" s="769"/>
      <c r="F3" s="817"/>
      <c r="G3" s="65"/>
      <c r="H3" s="65"/>
      <c r="I3" s="65"/>
      <c r="J3" s="65"/>
      <c r="L3" s="65"/>
      <c r="M3" s="65"/>
      <c r="N3" s="65"/>
      <c r="O3" s="65"/>
      <c r="P3" s="65"/>
      <c r="Q3" s="65"/>
      <c r="R3" s="65"/>
      <c r="S3" s="81"/>
      <c r="T3" s="65"/>
      <c r="U3" s="65"/>
      <c r="BF3" s="81"/>
      <c r="BG3" s="81"/>
    </row>
    <row r="4" spans="1:59" ht="15" customHeight="1" x14ac:dyDescent="0.25"/>
    <row r="5" spans="1:59" x14ac:dyDescent="0.25">
      <c r="A5" s="220" t="s">
        <v>10</v>
      </c>
      <c r="B5" s="31" t="s">
        <v>7</v>
      </c>
      <c r="C5" s="6" t="s">
        <v>220</v>
      </c>
    </row>
    <row r="7" spans="1:59" x14ac:dyDescent="0.25">
      <c r="A7" s="220" t="s">
        <v>214</v>
      </c>
      <c r="B7" s="31" t="s">
        <v>979</v>
      </c>
      <c r="C7"/>
      <c r="D7"/>
      <c r="E7"/>
      <c r="F7"/>
      <c r="G7"/>
      <c r="H7"/>
      <c r="I7"/>
    </row>
    <row r="8" spans="1:59" x14ac:dyDescent="0.25">
      <c r="A8" s="748" t="s">
        <v>455</v>
      </c>
      <c r="B8" s="133"/>
      <c r="C8"/>
      <c r="D8"/>
      <c r="E8"/>
      <c r="F8"/>
      <c r="G8"/>
      <c r="H8"/>
      <c r="I8"/>
    </row>
    <row r="9" spans="1:59" x14ac:dyDescent="0.25">
      <c r="A9" s="748" t="s">
        <v>291</v>
      </c>
      <c r="B9" s="133"/>
      <c r="C9"/>
      <c r="D9"/>
      <c r="E9"/>
      <c r="F9"/>
      <c r="G9"/>
      <c r="H9"/>
      <c r="I9"/>
    </row>
    <row r="10" spans="1:59" x14ac:dyDescent="0.25">
      <c r="A10" s="748" t="s">
        <v>296</v>
      </c>
      <c r="B10" s="133"/>
      <c r="C10"/>
      <c r="D10"/>
      <c r="E10"/>
      <c r="F10"/>
      <c r="G10"/>
      <c r="H10"/>
      <c r="I10"/>
    </row>
    <row r="11" spans="1:59" x14ac:dyDescent="0.25">
      <c r="A11" s="748" t="s">
        <v>581</v>
      </c>
      <c r="B11" s="133"/>
      <c r="C11"/>
      <c r="D11"/>
      <c r="E11"/>
      <c r="F11"/>
      <c r="G11"/>
      <c r="H11"/>
      <c r="I11"/>
    </row>
    <row r="12" spans="1:59" x14ac:dyDescent="0.25">
      <c r="A12" s="748" t="s">
        <v>300</v>
      </c>
      <c r="B12" s="133"/>
      <c r="C12"/>
      <c r="D12"/>
      <c r="E12"/>
      <c r="F12"/>
      <c r="G12"/>
      <c r="H12"/>
      <c r="I12"/>
    </row>
    <row r="13" spans="1:59" s="70" customFormat="1" x14ac:dyDescent="0.25">
      <c r="A13" s="748" t="s">
        <v>298</v>
      </c>
      <c r="B13" s="133"/>
      <c r="C13"/>
      <c r="D13"/>
      <c r="E13"/>
      <c r="F13"/>
    </row>
    <row r="14" spans="1:59" x14ac:dyDescent="0.25">
      <c r="A14" s="748" t="s">
        <v>297</v>
      </c>
      <c r="B14" s="133"/>
      <c r="C14"/>
      <c r="D14"/>
      <c r="E14"/>
      <c r="F14"/>
      <c r="G14"/>
      <c r="H14"/>
      <c r="I14"/>
    </row>
    <row r="15" spans="1:59" x14ac:dyDescent="0.25">
      <c r="A15" s="748" t="s">
        <v>642</v>
      </c>
      <c r="B15" s="133"/>
      <c r="C15"/>
      <c r="D15"/>
      <c r="E15"/>
      <c r="F15"/>
      <c r="G15"/>
      <c r="H15"/>
      <c r="I15"/>
    </row>
    <row r="16" spans="1:59" x14ac:dyDescent="0.25">
      <c r="A16" s="748" t="s">
        <v>301</v>
      </c>
      <c r="B16" s="133"/>
      <c r="C16"/>
      <c r="D16"/>
      <c r="E16"/>
      <c r="F16"/>
      <c r="G16"/>
      <c r="H16"/>
      <c r="I16"/>
    </row>
    <row r="17" spans="1:9" x14ac:dyDescent="0.25">
      <c r="A17" s="748" t="s">
        <v>664</v>
      </c>
      <c r="B17" s="133"/>
      <c r="C17"/>
      <c r="D17"/>
      <c r="E17"/>
      <c r="F17"/>
      <c r="G17"/>
      <c r="H17"/>
      <c r="I17"/>
    </row>
    <row r="18" spans="1:9" x14ac:dyDescent="0.25">
      <c r="A18" s="748" t="s">
        <v>288</v>
      </c>
      <c r="B18" s="133"/>
      <c r="C18"/>
      <c r="D18"/>
      <c r="E18"/>
      <c r="F18"/>
      <c r="G18"/>
      <c r="H18"/>
      <c r="I18"/>
    </row>
    <row r="19" spans="1:9" x14ac:dyDescent="0.25">
      <c r="A19" s="748" t="s">
        <v>663</v>
      </c>
      <c r="B19" s="133"/>
      <c r="C19"/>
      <c r="D19"/>
      <c r="E19"/>
      <c r="F19"/>
    </row>
    <row r="20" spans="1:9" x14ac:dyDescent="0.25">
      <c r="A20" s="748" t="s">
        <v>299</v>
      </c>
      <c r="B20" s="133"/>
      <c r="C20"/>
      <c r="D20"/>
      <c r="E20"/>
      <c r="F20"/>
    </row>
    <row r="21" spans="1:9" x14ac:dyDescent="0.25">
      <c r="A21" s="748" t="s">
        <v>215</v>
      </c>
      <c r="B21" s="133"/>
      <c r="C21"/>
      <c r="D21"/>
      <c r="E21"/>
      <c r="F21"/>
    </row>
    <row r="22" spans="1:9" s="102" customFormat="1" x14ac:dyDescent="0.25">
      <c r="A22" s="371"/>
      <c r="B22" s="66"/>
    </row>
    <row r="23" spans="1:9" s="102" customFormat="1" x14ac:dyDescent="0.25">
      <c r="A23" s="371"/>
      <c r="B23" s="66"/>
    </row>
    <row r="24" spans="1:9" s="102" customFormat="1" x14ac:dyDescent="0.25">
      <c r="A24" s="220" t="s">
        <v>10</v>
      </c>
      <c r="B24" s="31" t="s">
        <v>7</v>
      </c>
      <c r="C24" s="4"/>
      <c r="D24" s="4"/>
      <c r="E24" s="4"/>
    </row>
    <row r="25" spans="1:9" x14ac:dyDescent="0.25">
      <c r="A25" s="253" t="s">
        <v>1</v>
      </c>
      <c r="B25" s="31" t="s">
        <v>674</v>
      </c>
      <c r="C25"/>
      <c r="D25"/>
      <c r="E25"/>
      <c r="F25"/>
    </row>
    <row r="26" spans="1:9" x14ac:dyDescent="0.25">
      <c r="A26" s="71"/>
      <c r="B26" s="71"/>
      <c r="C26"/>
      <c r="D26"/>
      <c r="E26"/>
      <c r="F26"/>
    </row>
    <row r="27" spans="1:9" x14ac:dyDescent="0.25">
      <c r="A27" s="220" t="s">
        <v>214</v>
      </c>
      <c r="B27" s="31" t="s">
        <v>827</v>
      </c>
      <c r="C27"/>
      <c r="D27"/>
      <c r="E27"/>
      <c r="F27"/>
    </row>
    <row r="28" spans="1:9" x14ac:dyDescent="0.25">
      <c r="A28" s="750" t="s">
        <v>581</v>
      </c>
      <c r="B28" s="252">
        <v>152</v>
      </c>
      <c r="C28"/>
      <c r="D28"/>
      <c r="E28"/>
      <c r="F28"/>
    </row>
    <row r="29" spans="1:9" x14ac:dyDescent="0.25">
      <c r="A29" s="750" t="s">
        <v>664</v>
      </c>
      <c r="B29" s="252">
        <v>204</v>
      </c>
      <c r="C29"/>
      <c r="D29"/>
      <c r="E29"/>
      <c r="F29"/>
    </row>
    <row r="30" spans="1:9" x14ac:dyDescent="0.25">
      <c r="A30" s="750" t="s">
        <v>663</v>
      </c>
      <c r="B30" s="252">
        <v>222</v>
      </c>
      <c r="C30"/>
      <c r="D30"/>
      <c r="E30"/>
      <c r="F30"/>
    </row>
    <row r="31" spans="1:9" x14ac:dyDescent="0.25">
      <c r="A31" s="750" t="s">
        <v>298</v>
      </c>
      <c r="B31" s="252">
        <v>256</v>
      </c>
      <c r="C31"/>
      <c r="D31"/>
      <c r="E31"/>
      <c r="F31"/>
    </row>
    <row r="32" spans="1:9" x14ac:dyDescent="0.25">
      <c r="A32" s="750" t="s">
        <v>301</v>
      </c>
      <c r="B32" s="252">
        <v>304</v>
      </c>
      <c r="C32"/>
      <c r="D32"/>
      <c r="E32"/>
      <c r="F32"/>
    </row>
    <row r="33" spans="1:6" x14ac:dyDescent="0.25">
      <c r="A33" s="750" t="s">
        <v>300</v>
      </c>
      <c r="B33" s="252">
        <v>320</v>
      </c>
      <c r="C33"/>
      <c r="D33"/>
      <c r="E33"/>
      <c r="F33"/>
    </row>
    <row r="34" spans="1:6" x14ac:dyDescent="0.25">
      <c r="A34" s="750" t="s">
        <v>299</v>
      </c>
      <c r="B34" s="252">
        <v>400</v>
      </c>
      <c r="C34"/>
      <c r="D34"/>
      <c r="E34"/>
      <c r="F34"/>
    </row>
    <row r="35" spans="1:6" x14ac:dyDescent="0.25">
      <c r="A35" s="750" t="s">
        <v>297</v>
      </c>
      <c r="B35" s="252">
        <v>480</v>
      </c>
      <c r="C35"/>
      <c r="D35"/>
      <c r="E35"/>
      <c r="F35"/>
    </row>
    <row r="36" spans="1:6" x14ac:dyDescent="0.25">
      <c r="A36" s="750" t="s">
        <v>642</v>
      </c>
      <c r="B36" s="252">
        <v>1762</v>
      </c>
      <c r="C36"/>
      <c r="D36"/>
      <c r="E36"/>
      <c r="F36"/>
    </row>
    <row r="37" spans="1:6" x14ac:dyDescent="0.25">
      <c r="A37" s="750" t="s">
        <v>291</v>
      </c>
      <c r="B37" s="252">
        <v>1832</v>
      </c>
      <c r="C37"/>
      <c r="D37"/>
      <c r="E37"/>
      <c r="F37"/>
    </row>
    <row r="38" spans="1:6" x14ac:dyDescent="0.25">
      <c r="A38" s="750" t="s">
        <v>455</v>
      </c>
      <c r="B38" s="252">
        <v>1920</v>
      </c>
      <c r="C38"/>
      <c r="D38"/>
      <c r="E38"/>
      <c r="F38"/>
    </row>
    <row r="39" spans="1:6" x14ac:dyDescent="0.25">
      <c r="A39" s="750" t="s">
        <v>288</v>
      </c>
      <c r="B39" s="252">
        <v>5248</v>
      </c>
      <c r="C39"/>
      <c r="D39"/>
      <c r="E39"/>
      <c r="F39"/>
    </row>
    <row r="40" spans="1:6" s="102" customFormat="1" x14ac:dyDescent="0.25">
      <c r="A40" s="750" t="s">
        <v>296</v>
      </c>
      <c r="B40" s="252">
        <v>13205</v>
      </c>
    </row>
    <row r="41" spans="1:6" x14ac:dyDescent="0.25">
      <c r="A41" s="750" t="s">
        <v>215</v>
      </c>
      <c r="B41" s="252">
        <v>26305</v>
      </c>
      <c r="C41"/>
      <c r="D41"/>
      <c r="E41"/>
      <c r="F41"/>
    </row>
    <row r="42" spans="1:6" x14ac:dyDescent="0.25">
      <c r="A42"/>
      <c r="B42"/>
      <c r="C42"/>
      <c r="D42"/>
      <c r="E42"/>
      <c r="F42"/>
    </row>
    <row r="43" spans="1:6" x14ac:dyDescent="0.25">
      <c r="C43"/>
      <c r="D43"/>
      <c r="E43"/>
      <c r="F43"/>
    </row>
    <row r="44" spans="1:6" x14ac:dyDescent="0.25">
      <c r="A44" s="220" t="s">
        <v>10</v>
      </c>
      <c r="B44" s="31" t="s">
        <v>7</v>
      </c>
      <c r="C44"/>
      <c r="D44"/>
      <c r="E44"/>
      <c r="F44"/>
    </row>
    <row r="45" spans="1:6" x14ac:dyDescent="0.25">
      <c r="A45" s="102"/>
      <c r="B45" s="102"/>
      <c r="C45"/>
      <c r="D45"/>
      <c r="E45"/>
      <c r="F45"/>
    </row>
    <row r="46" spans="1:6" x14ac:dyDescent="0.25">
      <c r="A46" s="253" t="s">
        <v>214</v>
      </c>
      <c r="B46" s="31" t="s">
        <v>827</v>
      </c>
      <c r="C46"/>
      <c r="D46"/>
      <c r="E46"/>
      <c r="F46"/>
    </row>
    <row r="47" spans="1:6" x14ac:dyDescent="0.25">
      <c r="A47" s="748" t="s">
        <v>18</v>
      </c>
      <c r="B47" s="252">
        <v>96</v>
      </c>
      <c r="C47"/>
      <c r="D47"/>
      <c r="E47"/>
      <c r="F47"/>
    </row>
    <row r="48" spans="1:6" x14ac:dyDescent="0.25">
      <c r="A48" s="748" t="s">
        <v>17</v>
      </c>
      <c r="B48" s="252">
        <v>480</v>
      </c>
      <c r="C48"/>
      <c r="D48"/>
      <c r="E48"/>
      <c r="F48"/>
    </row>
    <row r="49" spans="1:6" x14ac:dyDescent="0.25">
      <c r="A49" s="748" t="s">
        <v>20</v>
      </c>
      <c r="B49" s="252">
        <v>554</v>
      </c>
      <c r="C49" s="6"/>
      <c r="D49" s="71"/>
      <c r="E49" s="71"/>
      <c r="F49"/>
    </row>
    <row r="50" spans="1:6" x14ac:dyDescent="0.25">
      <c r="A50" s="748" t="s">
        <v>16</v>
      </c>
      <c r="B50" s="252">
        <v>600</v>
      </c>
      <c r="C50" s="71"/>
      <c r="D50" s="71"/>
      <c r="E50" s="71"/>
      <c r="F50"/>
    </row>
    <row r="51" spans="1:6" x14ac:dyDescent="0.25">
      <c r="A51" s="748" t="s">
        <v>915</v>
      </c>
      <c r="B51" s="252">
        <v>760</v>
      </c>
      <c r="C51"/>
      <c r="D51"/>
      <c r="E51"/>
      <c r="F51"/>
    </row>
    <row r="52" spans="1:6" x14ac:dyDescent="0.25">
      <c r="A52" s="748" t="s">
        <v>12</v>
      </c>
      <c r="B52" s="252">
        <v>902</v>
      </c>
      <c r="C52"/>
      <c r="D52"/>
      <c r="E52"/>
      <c r="F52"/>
    </row>
    <row r="53" spans="1:6" x14ac:dyDescent="0.25">
      <c r="A53" s="748" t="s">
        <v>15</v>
      </c>
      <c r="B53" s="252">
        <v>1056</v>
      </c>
      <c r="C53"/>
      <c r="D53"/>
      <c r="E53"/>
      <c r="F53"/>
    </row>
    <row r="54" spans="1:6" x14ac:dyDescent="0.25">
      <c r="A54" s="748" t="s">
        <v>11</v>
      </c>
      <c r="B54" s="252">
        <v>1145</v>
      </c>
      <c r="C54"/>
      <c r="D54"/>
      <c r="E54"/>
      <c r="F54"/>
    </row>
    <row r="55" spans="1:6" x14ac:dyDescent="0.25">
      <c r="A55" s="748" t="s">
        <v>14</v>
      </c>
      <c r="B55" s="252">
        <v>4647</v>
      </c>
      <c r="C55"/>
      <c r="D55"/>
      <c r="E55"/>
      <c r="F55"/>
    </row>
    <row r="56" spans="1:6" x14ac:dyDescent="0.25">
      <c r="A56" s="748" t="s">
        <v>19</v>
      </c>
      <c r="B56" s="252">
        <v>16065</v>
      </c>
      <c r="C56"/>
      <c r="D56"/>
      <c r="E56"/>
      <c r="F56"/>
    </row>
    <row r="57" spans="1:6" x14ac:dyDescent="0.25">
      <c r="A57" s="748" t="s">
        <v>215</v>
      </c>
      <c r="B57" s="252">
        <v>26305</v>
      </c>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row>
    <row r="80" spans="1:6" x14ac:dyDescent="0.25">
      <c r="A80"/>
      <c r="B80"/>
      <c r="C80"/>
      <c r="D80"/>
      <c r="E80"/>
    </row>
    <row r="81" spans="1:5" x14ac:dyDescent="0.25">
      <c r="A81"/>
      <c r="B81"/>
      <c r="C81"/>
      <c r="D81"/>
      <c r="E81"/>
    </row>
    <row r="82" spans="1:5" x14ac:dyDescent="0.25">
      <c r="A82"/>
      <c r="B82"/>
      <c r="C82"/>
      <c r="D82"/>
      <c r="E82"/>
    </row>
    <row r="83" spans="1:5" x14ac:dyDescent="0.25">
      <c r="A83"/>
      <c r="B83"/>
      <c r="C83"/>
      <c r="D83"/>
      <c r="E83"/>
    </row>
    <row r="84" spans="1:5" x14ac:dyDescent="0.25">
      <c r="A84"/>
      <c r="B84"/>
      <c r="C84"/>
      <c r="D84"/>
      <c r="E84"/>
    </row>
    <row r="85" spans="1:5" x14ac:dyDescent="0.25">
      <c r="A85"/>
      <c r="B85"/>
      <c r="C85"/>
      <c r="D85"/>
      <c r="E85"/>
    </row>
    <row r="86" spans="1:5" x14ac:dyDescent="0.25">
      <c r="A86"/>
      <c r="B86"/>
      <c r="C86"/>
      <c r="D86"/>
      <c r="E86"/>
    </row>
    <row r="87" spans="1:5" x14ac:dyDescent="0.25">
      <c r="A87"/>
      <c r="B87"/>
      <c r="C87"/>
      <c r="D87"/>
      <c r="E87"/>
    </row>
    <row r="88" spans="1:5" x14ac:dyDescent="0.25">
      <c r="A88"/>
      <c r="B88"/>
      <c r="C88"/>
      <c r="D88"/>
      <c r="E88"/>
    </row>
    <row r="89" spans="1:5" x14ac:dyDescent="0.25">
      <c r="A89"/>
      <c r="B89"/>
      <c r="C89"/>
      <c r="D89"/>
      <c r="E89"/>
    </row>
    <row r="90" spans="1:5" x14ac:dyDescent="0.25">
      <c r="A90"/>
      <c r="B90"/>
      <c r="C90"/>
      <c r="D90"/>
      <c r="E90"/>
    </row>
    <row r="91" spans="1:5" x14ac:dyDescent="0.25">
      <c r="A91"/>
      <c r="B91"/>
      <c r="C91"/>
      <c r="D91"/>
      <c r="E91"/>
    </row>
    <row r="92" spans="1:5" x14ac:dyDescent="0.25">
      <c r="A92"/>
      <c r="B92"/>
      <c r="C92"/>
    </row>
    <row r="93" spans="1:5" x14ac:dyDescent="0.25">
      <c r="A93"/>
      <c r="B93"/>
      <c r="C93"/>
    </row>
    <row r="94" spans="1:5" x14ac:dyDescent="0.25">
      <c r="A94"/>
      <c r="B94"/>
      <c r="C94"/>
    </row>
    <row r="95" spans="1:5" x14ac:dyDescent="0.25">
      <c r="A95"/>
      <c r="B95"/>
      <c r="C95"/>
    </row>
    <row r="96" spans="1:5" x14ac:dyDescent="0.25">
      <c r="A96"/>
      <c r="B96"/>
      <c r="C96"/>
    </row>
    <row r="97" spans="1:3" x14ac:dyDescent="0.25">
      <c r="A97"/>
      <c r="B97"/>
      <c r="C97"/>
    </row>
    <row r="98" spans="1:3" x14ac:dyDescent="0.25">
      <c r="A98"/>
      <c r="B98"/>
      <c r="C98"/>
    </row>
    <row r="99" spans="1:3" x14ac:dyDescent="0.25">
      <c r="A99"/>
      <c r="B99"/>
      <c r="C99"/>
    </row>
    <row r="100" spans="1:3" x14ac:dyDescent="0.25">
      <c r="A100"/>
      <c r="B100"/>
      <c r="C100"/>
    </row>
    <row r="101" spans="1:3" x14ac:dyDescent="0.25">
      <c r="A101"/>
      <c r="B101"/>
      <c r="C101"/>
    </row>
    <row r="102" spans="1:3" x14ac:dyDescent="0.25">
      <c r="A102"/>
      <c r="B102"/>
      <c r="C102"/>
    </row>
    <row r="103" spans="1:3" x14ac:dyDescent="0.25">
      <c r="A103"/>
      <c r="B103"/>
      <c r="C103"/>
    </row>
    <row r="104" spans="1:3" x14ac:dyDescent="0.25">
      <c r="A104"/>
      <c r="B104"/>
      <c r="C104"/>
    </row>
    <row r="105" spans="1:3" x14ac:dyDescent="0.25">
      <c r="A105"/>
      <c r="B105"/>
      <c r="C105"/>
    </row>
    <row r="106" spans="1:3" x14ac:dyDescent="0.25">
      <c r="A106"/>
      <c r="B106"/>
      <c r="C106"/>
    </row>
    <row r="107" spans="1:3" x14ac:dyDescent="0.25">
      <c r="A107"/>
      <c r="B107"/>
      <c r="C107"/>
    </row>
    <row r="108" spans="1:3" x14ac:dyDescent="0.25">
      <c r="A108"/>
      <c r="B108"/>
      <c r="C108"/>
    </row>
    <row r="109" spans="1:3" x14ac:dyDescent="0.25">
      <c r="A109"/>
      <c r="B109"/>
      <c r="C109"/>
    </row>
    <row r="110" spans="1:3" x14ac:dyDescent="0.25">
      <c r="A110"/>
      <c r="B110"/>
      <c r="C110"/>
    </row>
    <row r="111" spans="1:3" x14ac:dyDescent="0.25">
      <c r="A111"/>
      <c r="B111"/>
      <c r="C111"/>
    </row>
    <row r="112" spans="1:3" x14ac:dyDescent="0.25">
      <c r="A112"/>
      <c r="B112"/>
      <c r="C112"/>
    </row>
    <row r="113" spans="1:3" x14ac:dyDescent="0.25">
      <c r="A113"/>
      <c r="B113"/>
      <c r="C113"/>
    </row>
    <row r="114" spans="1:3" x14ac:dyDescent="0.25">
      <c r="A114"/>
      <c r="B114"/>
      <c r="C114"/>
    </row>
    <row r="115" spans="1:3" x14ac:dyDescent="0.25">
      <c r="A115"/>
      <c r="B115"/>
      <c r="C115"/>
    </row>
    <row r="116" spans="1:3" x14ac:dyDescent="0.25">
      <c r="A116"/>
      <c r="B116"/>
      <c r="C116"/>
    </row>
    <row r="117" spans="1:3" x14ac:dyDescent="0.25">
      <c r="A117"/>
      <c r="B117"/>
      <c r="C117"/>
    </row>
    <row r="118" spans="1:3" x14ac:dyDescent="0.25">
      <c r="A118"/>
      <c r="B118"/>
      <c r="C118"/>
    </row>
    <row r="119" spans="1:3" x14ac:dyDescent="0.25">
      <c r="A119"/>
      <c r="B119"/>
      <c r="C119"/>
    </row>
    <row r="120" spans="1:3" x14ac:dyDescent="0.25">
      <c r="A120"/>
      <c r="B120"/>
      <c r="C120"/>
    </row>
    <row r="121" spans="1:3" x14ac:dyDescent="0.25">
      <c r="A121"/>
      <c r="B121"/>
      <c r="C121"/>
    </row>
    <row r="122" spans="1:3" x14ac:dyDescent="0.25">
      <c r="A122"/>
      <c r="B122"/>
      <c r="C122"/>
    </row>
    <row r="123" spans="1:3" x14ac:dyDescent="0.25">
      <c r="A123"/>
      <c r="B123"/>
      <c r="C123"/>
    </row>
    <row r="124" spans="1:3" x14ac:dyDescent="0.25">
      <c r="A124"/>
      <c r="B124"/>
      <c r="C124"/>
    </row>
    <row r="125" spans="1:3" x14ac:dyDescent="0.25">
      <c r="A125"/>
      <c r="B125"/>
      <c r="C125"/>
    </row>
    <row r="126" spans="1:3" x14ac:dyDescent="0.25">
      <c r="A126"/>
      <c r="B126"/>
      <c r="C126"/>
    </row>
    <row r="127" spans="1:3" x14ac:dyDescent="0.25">
      <c r="A127"/>
      <c r="B127"/>
      <c r="C127"/>
    </row>
    <row r="128" spans="1:3"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row>
    <row r="206" spans="1:2" x14ac:dyDescent="0.25">
      <c r="A206"/>
    </row>
    <row r="207" spans="1:2" x14ac:dyDescent="0.25">
      <c r="A207"/>
    </row>
    <row r="208" spans="1:2"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sheetData>
  <mergeCells count="2">
    <mergeCell ref="A2:C2"/>
    <mergeCell ref="A3:F3"/>
  </mergeCells>
  <pageMargins left="0.7" right="0.7" top="0.75" bottom="0.75" header="0.3" footer="0.3"/>
  <pageSetup paperSize="9" scale="66"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E27" sqref="E27"/>
    </sheetView>
  </sheetViews>
  <sheetFormatPr defaultColWidth="9.140625" defaultRowHeight="15" x14ac:dyDescent="0.25"/>
  <cols>
    <col min="1" max="1" width="12.28515625" style="70" customWidth="1"/>
    <col min="2" max="2" width="10.7109375" style="70" bestFit="1" customWidth="1"/>
    <col min="3" max="3" width="11.5703125" style="70" bestFit="1" customWidth="1"/>
    <col min="4" max="4" width="7.140625" style="70" bestFit="1" customWidth="1"/>
    <col min="5" max="5" width="11.28515625" style="70" bestFit="1" customWidth="1"/>
    <col min="6" max="7" width="11" style="70" bestFit="1" customWidth="1"/>
    <col min="8" max="8" width="16.28515625" style="70" customWidth="1"/>
    <col min="9" max="9" width="6.28515625" style="70" customWidth="1"/>
    <col min="10" max="10" width="9.140625" style="70"/>
    <col min="11" max="11" width="6.28515625" style="70" customWidth="1"/>
    <col min="12" max="12" width="5.85546875" style="70" customWidth="1"/>
    <col min="13" max="15" width="11" style="70" customWidth="1"/>
    <col min="16" max="16" width="17.28515625" style="70" customWidth="1"/>
    <col min="17" max="17" width="20" style="70" customWidth="1"/>
    <col min="18" max="18" width="29.5703125" style="70" customWidth="1"/>
    <col min="19" max="19" width="23.140625" style="70" customWidth="1"/>
    <col min="20" max="20" width="12.85546875" style="70" customWidth="1"/>
    <col min="21" max="21" width="25.42578125" style="70" customWidth="1"/>
    <col min="22" max="22" width="14" style="88" customWidth="1"/>
    <col min="23" max="42" width="9.140625" style="88"/>
    <col min="43" max="16384" width="9.140625" style="70"/>
  </cols>
  <sheetData>
    <row r="1" spans="1:53" s="1" customFormat="1" ht="36" x14ac:dyDescent="0.25">
      <c r="A1" s="207"/>
      <c r="B1" s="208"/>
      <c r="C1" s="208"/>
      <c r="D1" s="208"/>
      <c r="E1" s="208"/>
      <c r="F1" s="208"/>
      <c r="G1" s="208"/>
      <c r="H1" s="208"/>
      <c r="I1" s="208"/>
      <c r="J1" s="208"/>
      <c r="K1" s="208"/>
      <c r="L1" s="208"/>
      <c r="M1" s="208"/>
      <c r="N1" s="208"/>
      <c r="O1" s="224"/>
      <c r="AY1" s="80"/>
      <c r="AZ1" s="80"/>
    </row>
    <row r="2" spans="1:53" s="1" customFormat="1" ht="33" customHeight="1" x14ac:dyDescent="0.25">
      <c r="A2" s="766" t="s">
        <v>828</v>
      </c>
      <c r="B2" s="767"/>
      <c r="C2" s="767"/>
      <c r="D2" s="767"/>
      <c r="E2" s="767"/>
      <c r="F2" s="767"/>
      <c r="G2" s="767"/>
      <c r="H2" s="767"/>
      <c r="I2" s="104"/>
      <c r="J2" s="104"/>
      <c r="K2" s="104"/>
      <c r="L2" s="104"/>
      <c r="M2" s="104"/>
      <c r="N2" s="104"/>
      <c r="O2" s="234"/>
      <c r="V2" s="102"/>
      <c r="W2" s="102"/>
      <c r="X2" s="102"/>
      <c r="Y2" s="102"/>
      <c r="Z2" s="102"/>
      <c r="AA2" s="102"/>
      <c r="AB2" s="102"/>
      <c r="AC2" s="102"/>
      <c r="AD2" s="102"/>
      <c r="AE2" s="102"/>
      <c r="AF2" s="102"/>
      <c r="AG2" s="102"/>
      <c r="AH2" s="102"/>
      <c r="AI2" s="102"/>
      <c r="AJ2" s="102"/>
      <c r="AK2" s="102"/>
      <c r="AL2" s="102"/>
      <c r="AM2" s="102"/>
      <c r="AN2" s="102"/>
      <c r="AO2" s="102"/>
      <c r="AP2" s="102"/>
      <c r="AZ2" s="80"/>
      <c r="BA2" s="80"/>
    </row>
    <row r="3" spans="1:53" s="21" customFormat="1" ht="18" customHeight="1" x14ac:dyDescent="0.25">
      <c r="A3" s="768">
        <f>Report_Date</f>
        <v>42339</v>
      </c>
      <c r="B3" s="769"/>
      <c r="C3" s="769"/>
      <c r="D3" s="769"/>
      <c r="E3" s="769"/>
      <c r="F3" s="769"/>
      <c r="G3" s="769"/>
      <c r="H3" s="769"/>
      <c r="I3" s="235"/>
      <c r="J3" s="235"/>
      <c r="K3" s="235"/>
      <c r="L3" s="235"/>
      <c r="M3" s="235"/>
      <c r="N3" s="235"/>
      <c r="O3" s="236"/>
      <c r="W3" s="102"/>
      <c r="X3" s="102"/>
      <c r="Y3" s="102"/>
      <c r="Z3" s="102"/>
      <c r="AA3" s="102"/>
      <c r="AB3" s="102"/>
      <c r="AC3" s="102"/>
      <c r="AD3" s="102"/>
      <c r="AE3" s="102"/>
      <c r="AF3" s="102"/>
      <c r="AG3" s="102"/>
      <c r="AH3" s="102"/>
      <c r="AI3" s="102"/>
      <c r="AJ3" s="102"/>
      <c r="AK3" s="102"/>
      <c r="AL3" s="102"/>
      <c r="AM3" s="102"/>
      <c r="AN3" s="102"/>
      <c r="AO3" s="102"/>
      <c r="AP3" s="102"/>
      <c r="AZ3" s="81"/>
      <c r="BA3" s="81"/>
    </row>
    <row r="4" spans="1:53" x14ac:dyDescent="0.25">
      <c r="A4" s="515"/>
      <c r="B4" s="608"/>
      <c r="C4" s="608"/>
      <c r="D4" s="608"/>
      <c r="E4" s="608"/>
      <c r="F4" s="608"/>
      <c r="G4" s="608"/>
      <c r="H4" s="608"/>
      <c r="I4" s="608"/>
      <c r="J4" s="608"/>
      <c r="K4" s="608"/>
      <c r="L4" s="608"/>
      <c r="M4" s="608"/>
      <c r="N4" s="608"/>
      <c r="O4" s="516"/>
    </row>
    <row r="5" spans="1:53" x14ac:dyDescent="0.25">
      <c r="A5" s="609"/>
      <c r="B5" s="55"/>
      <c r="C5" s="55"/>
      <c r="D5" s="55"/>
      <c r="E5" s="55"/>
      <c r="F5" s="55"/>
      <c r="G5" s="55"/>
      <c r="H5" s="55"/>
      <c r="I5" s="55"/>
      <c r="J5" s="55"/>
      <c r="K5" s="55"/>
      <c r="L5" s="55"/>
      <c r="M5" s="55"/>
      <c r="N5" s="55"/>
      <c r="O5" s="610"/>
      <c r="P5" s="21"/>
      <c r="Q5" s="21"/>
      <c r="R5" s="21"/>
      <c r="S5" s="22"/>
      <c r="T5" s="21"/>
      <c r="U5" s="21"/>
    </row>
    <row r="6" spans="1:53" x14ac:dyDescent="0.25">
      <c r="A6" s="609"/>
      <c r="B6" s="55"/>
      <c r="C6" s="55"/>
      <c r="D6" s="55"/>
      <c r="E6" s="55"/>
      <c r="F6" s="55"/>
      <c r="G6" s="55"/>
      <c r="H6" s="55"/>
      <c r="I6" s="55"/>
      <c r="J6" s="55"/>
      <c r="K6" s="55"/>
      <c r="L6" s="55"/>
      <c r="M6" s="55"/>
      <c r="N6" s="55"/>
      <c r="O6" s="610"/>
      <c r="T6" s="23"/>
      <c r="U6" s="21"/>
    </row>
    <row r="7" spans="1:53" ht="12.75" customHeight="1" x14ac:dyDescent="0.25">
      <c r="A7" s="609"/>
      <c r="B7" s="55"/>
      <c r="C7" s="55"/>
      <c r="D7" s="55"/>
      <c r="E7" s="55"/>
      <c r="F7" s="55"/>
      <c r="G7" s="55"/>
      <c r="H7" s="55"/>
      <c r="I7" s="55"/>
      <c r="J7" s="55"/>
      <c r="K7" s="55"/>
      <c r="L7" s="55"/>
      <c r="M7" s="55"/>
      <c r="N7" s="55"/>
      <c r="O7" s="610"/>
    </row>
    <row r="8" spans="1:53" ht="12.75" customHeight="1" x14ac:dyDescent="0.25">
      <c r="A8" s="609"/>
      <c r="B8" s="55"/>
      <c r="C8" s="55"/>
      <c r="D8" s="55"/>
      <c r="E8" s="55"/>
      <c r="F8" s="55"/>
      <c r="G8" s="55"/>
      <c r="H8" s="55"/>
      <c r="I8" s="55"/>
      <c r="J8" s="55"/>
      <c r="K8" s="55"/>
      <c r="L8" s="55"/>
      <c r="M8" s="55"/>
      <c r="N8" s="55"/>
      <c r="O8" s="610"/>
    </row>
    <row r="9" spans="1:53" ht="12.75" customHeight="1" x14ac:dyDescent="0.25">
      <c r="A9" s="609"/>
      <c r="B9" s="55"/>
      <c r="C9" s="55"/>
      <c r="D9" s="55"/>
      <c r="E9" s="55"/>
      <c r="F9" s="55"/>
      <c r="G9" s="55"/>
      <c r="H9" s="55"/>
      <c r="I9" s="55"/>
      <c r="J9" s="55"/>
      <c r="K9" s="55"/>
      <c r="L9" s="55"/>
      <c r="M9" s="55"/>
      <c r="N9" s="55"/>
      <c r="O9" s="610"/>
    </row>
    <row r="10" spans="1:53" ht="12.75" customHeight="1" x14ac:dyDescent="0.25">
      <c r="A10" s="609"/>
      <c r="B10" s="55"/>
      <c r="C10" s="55"/>
      <c r="D10" s="55"/>
      <c r="E10" s="55"/>
      <c r="F10" s="55"/>
      <c r="G10" s="55"/>
      <c r="H10" s="55"/>
      <c r="I10" s="55"/>
      <c r="J10" s="55"/>
      <c r="K10" s="55"/>
      <c r="L10" s="55"/>
      <c r="M10" s="55"/>
      <c r="N10" s="55"/>
      <c r="O10" s="610"/>
    </row>
    <row r="11" spans="1:53" ht="12.75" customHeight="1" x14ac:dyDescent="0.25">
      <c r="A11" s="609"/>
      <c r="B11" s="55"/>
      <c r="C11" s="55"/>
      <c r="D11" s="55"/>
      <c r="E11" s="55"/>
      <c r="F11" s="55"/>
      <c r="G11" s="55"/>
      <c r="H11" s="611"/>
      <c r="I11" s="611"/>
      <c r="J11" s="55"/>
      <c r="K11" s="55"/>
      <c r="L11" s="55"/>
      <c r="M11" s="55"/>
      <c r="N11" s="55"/>
      <c r="O11" s="610"/>
    </row>
    <row r="12" spans="1:53" ht="12.75" customHeight="1" x14ac:dyDescent="0.25">
      <c r="A12" s="609"/>
      <c r="B12" s="55"/>
      <c r="C12" s="55"/>
      <c r="D12" s="55"/>
      <c r="E12" s="55"/>
      <c r="F12" s="55"/>
      <c r="G12" s="55"/>
      <c r="H12" s="612"/>
      <c r="I12" s="612"/>
      <c r="J12" s="55"/>
      <c r="K12" s="55"/>
      <c r="L12" s="55"/>
      <c r="M12" s="55"/>
      <c r="N12" s="55"/>
      <c r="O12" s="610"/>
    </row>
    <row r="13" spans="1:53" ht="12.75" customHeight="1" x14ac:dyDescent="0.25">
      <c r="A13" s="609"/>
      <c r="B13" s="55"/>
      <c r="C13" s="55"/>
      <c r="D13" s="55"/>
      <c r="E13" s="55"/>
      <c r="F13" s="55"/>
      <c r="G13" s="55"/>
      <c r="H13" s="612"/>
      <c r="I13" s="612"/>
      <c r="J13" s="55"/>
      <c r="K13" s="55"/>
      <c r="L13" s="55"/>
      <c r="M13" s="55"/>
      <c r="N13" s="55"/>
      <c r="O13" s="610"/>
    </row>
    <row r="14" spans="1:53" ht="12.75" customHeight="1" x14ac:dyDescent="0.25">
      <c r="A14" s="609"/>
      <c r="B14" s="55"/>
      <c r="C14" s="55"/>
      <c r="D14" s="55"/>
      <c r="E14" s="55"/>
      <c r="F14" s="55"/>
      <c r="G14" s="55"/>
      <c r="H14" s="612"/>
      <c r="I14" s="612"/>
      <c r="J14" s="55"/>
      <c r="K14" s="55"/>
      <c r="L14" s="55"/>
      <c r="M14" s="55"/>
      <c r="N14" s="55"/>
      <c r="O14" s="610"/>
    </row>
    <row r="15" spans="1:53" ht="12.75" customHeight="1" x14ac:dyDescent="0.25">
      <c r="A15" s="609"/>
      <c r="B15" s="55"/>
      <c r="C15" s="55"/>
      <c r="D15" s="55"/>
      <c r="E15" s="55"/>
      <c r="F15" s="55"/>
      <c r="G15" s="55"/>
      <c r="H15" s="612"/>
      <c r="I15" s="612"/>
      <c r="J15" s="55"/>
      <c r="K15" s="55"/>
      <c r="L15" s="55"/>
      <c r="M15" s="55"/>
      <c r="N15" s="55"/>
      <c r="O15" s="610"/>
    </row>
    <row r="16" spans="1:53" ht="12.75" customHeight="1" x14ac:dyDescent="0.25">
      <c r="A16" s="617"/>
      <c r="B16" s="818" t="s">
        <v>217</v>
      </c>
      <c r="C16" s="818"/>
      <c r="D16" s="818"/>
      <c r="E16" s="818" t="s">
        <v>242</v>
      </c>
      <c r="F16" s="818"/>
      <c r="G16" s="818"/>
      <c r="H16" s="612"/>
      <c r="I16" s="612"/>
      <c r="J16" s="55"/>
      <c r="K16" s="55"/>
      <c r="L16" s="55"/>
      <c r="M16" s="55"/>
      <c r="N16" s="55"/>
      <c r="O16" s="610"/>
    </row>
    <row r="17" spans="1:21" ht="26.25" customHeight="1" x14ac:dyDescent="0.25">
      <c r="A17" s="621" t="s">
        <v>1</v>
      </c>
      <c r="B17" s="622" t="s">
        <v>591</v>
      </c>
      <c r="C17" s="622" t="s">
        <v>594</v>
      </c>
      <c r="D17" s="622" t="s">
        <v>592</v>
      </c>
      <c r="E17" s="623" t="s">
        <v>613</v>
      </c>
      <c r="F17" s="623" t="s">
        <v>614</v>
      </c>
      <c r="G17" s="624" t="s">
        <v>593</v>
      </c>
      <c r="H17" s="612"/>
      <c r="I17" s="612"/>
      <c r="J17" s="55"/>
      <c r="K17" s="55"/>
      <c r="L17" s="55"/>
      <c r="M17" s="55"/>
      <c r="N17" s="55"/>
      <c r="O17" s="610"/>
    </row>
    <row r="18" spans="1:21" ht="12.75" customHeight="1" x14ac:dyDescent="0.25">
      <c r="A18" s="619" t="s">
        <v>17</v>
      </c>
      <c r="B18" s="618">
        <f>SUMIFS(Camplist_HH,Camplist_Township,'Shelter Coverage &amp; Gaps'!$A18,CampList_Status,"Open")</f>
        <v>492</v>
      </c>
      <c r="C18" s="613">
        <f>SUMIFS(Camplist_Popl,Camplist_Township,'Shelter Coverage &amp; Gaps'!$A18,CampList_Status,"Open")</f>
        <v>1601</v>
      </c>
      <c r="D18" s="618">
        <f>COUNTIFS(Camplist_Township,'Shelter Coverage &amp; Gaps'!A18,CampList_Status,"open")</f>
        <v>2</v>
      </c>
      <c r="E18" s="614">
        <f ca="1">'Shelter Progress'!O6</f>
        <v>1561.9512195121952</v>
      </c>
      <c r="F18" s="614">
        <f ca="1">'Shelter Progress'!R6</f>
        <v>39.048780487804834</v>
      </c>
      <c r="G18" s="620">
        <f t="shared" ref="G18:G28" ca="1" si="0">IFERROR(E18/(E18+F18),0)</f>
        <v>0.97560975609756095</v>
      </c>
      <c r="H18" s="612"/>
      <c r="I18" s="612"/>
      <c r="J18" s="55"/>
      <c r="K18" s="55"/>
      <c r="L18" s="55"/>
      <c r="M18" s="55"/>
      <c r="N18" s="55"/>
      <c r="O18" s="610"/>
    </row>
    <row r="19" spans="1:21" ht="12.75" customHeight="1" x14ac:dyDescent="0.25">
      <c r="A19" s="619" t="s">
        <v>15</v>
      </c>
      <c r="B19" s="618">
        <f>SUMIFS(Camplist_HH,Camplist_Township,'Shelter Coverage &amp; Gaps'!$A19,CampList_Status,"Open")</f>
        <v>1001</v>
      </c>
      <c r="C19" s="613">
        <f>SUMIFS(Camplist_Popl,Camplist_Township,'Shelter Coverage &amp; Gaps'!$A19,CampList_Status,"Open")</f>
        <v>6512</v>
      </c>
      <c r="D19" s="618">
        <f>COUNTIFS(Camplist_Township,'Shelter Coverage &amp; Gaps'!A19,CampList_Status,"open")</f>
        <v>11</v>
      </c>
      <c r="E19" s="614">
        <f ca="1">'Shelter Progress'!O7</f>
        <v>6869.802197802198</v>
      </c>
      <c r="F19" s="614">
        <f ca="1">'Shelter Progress'!R7</f>
        <v>0</v>
      </c>
      <c r="G19" s="620">
        <f t="shared" ca="1" si="0"/>
        <v>1</v>
      </c>
      <c r="H19" s="612"/>
      <c r="I19" s="612"/>
      <c r="J19" s="55"/>
      <c r="K19" s="55"/>
      <c r="L19" s="55"/>
      <c r="M19" s="55"/>
      <c r="N19" s="55"/>
      <c r="O19" s="610"/>
    </row>
    <row r="20" spans="1:21" ht="12.75" customHeight="1" x14ac:dyDescent="0.25">
      <c r="A20" s="619" t="s">
        <v>20</v>
      </c>
      <c r="B20" s="618">
        <f>SUMIFS(Camplist_HH,Camplist_Township,'Shelter Coverage &amp; Gaps'!$A20,CampList_Status,"Open")</f>
        <v>219</v>
      </c>
      <c r="C20" s="613">
        <f>SUMIFS(Camplist_Popl,Camplist_Township,'Shelter Coverage &amp; Gaps'!$A20,CampList_Status,"Open")</f>
        <v>1400</v>
      </c>
      <c r="D20" s="618">
        <f>COUNTIFS(Camplist_Township,'Shelter Coverage &amp; Gaps'!A20,CampList_Status,"open")</f>
        <v>9</v>
      </c>
      <c r="E20" s="614">
        <f ca="1">'Shelter Progress'!O8</f>
        <v>0</v>
      </c>
      <c r="F20" s="614">
        <f ca="1">'Shelter Progress'!R8</f>
        <v>1400</v>
      </c>
      <c r="G20" s="620">
        <f t="shared" ca="1" si="0"/>
        <v>0</v>
      </c>
      <c r="H20" s="612"/>
      <c r="I20" s="612"/>
      <c r="J20" s="55"/>
      <c r="K20" s="55"/>
      <c r="L20" s="55"/>
      <c r="M20" s="55"/>
      <c r="N20" s="55"/>
      <c r="O20" s="610"/>
    </row>
    <row r="21" spans="1:21" ht="12.75" customHeight="1" x14ac:dyDescent="0.25">
      <c r="A21" s="619" t="s">
        <v>915</v>
      </c>
      <c r="B21" s="618">
        <f>SUMIFS(Camplist_HH,Camplist_Township,'Shelter Coverage &amp; Gaps'!$A21,CampList_Status,"Open")</f>
        <v>724</v>
      </c>
      <c r="C21" s="613">
        <f>SUMIFS(Camplist_Popl,Camplist_Township,'Shelter Coverage &amp; Gaps'!$A21,CampList_Status,"Open")</f>
        <v>3013</v>
      </c>
      <c r="D21" s="618">
        <f>COUNTIFS(Camplist_Township,'Shelter Coverage &amp; Gaps'!A21,CampList_Status,"open")</f>
        <v>2</v>
      </c>
      <c r="E21" s="614">
        <f ca="1">'Shelter Progress'!O9</f>
        <v>3162.8176795580112</v>
      </c>
      <c r="F21" s="614">
        <f ca="1">'Shelter Progress'!R9</f>
        <v>0</v>
      </c>
      <c r="G21" s="620">
        <f t="shared" ca="1" si="0"/>
        <v>1</v>
      </c>
      <c r="H21" s="615"/>
      <c r="I21" s="615"/>
      <c r="J21" s="55"/>
      <c r="K21" s="55"/>
      <c r="L21" s="55"/>
      <c r="M21" s="55"/>
      <c r="N21" s="55"/>
      <c r="O21" s="610"/>
    </row>
    <row r="22" spans="1:21" ht="12.75" customHeight="1" x14ac:dyDescent="0.25">
      <c r="A22" s="619" t="s">
        <v>11</v>
      </c>
      <c r="B22" s="618">
        <f>SUMIFS(Camplist_HH,Camplist_Township,'Shelter Coverage &amp; Gaps'!$A22,CampList_Status,"Open")</f>
        <v>911</v>
      </c>
      <c r="C22" s="613">
        <f>SUMIFS(Camplist_Popl,Camplist_Township,'Shelter Coverage &amp; Gaps'!$A22,CampList_Status,"Open")</f>
        <v>5638</v>
      </c>
      <c r="D22" s="618">
        <f>COUNTIFS(Camplist_Township,'Shelter Coverage &amp; Gaps'!A22,CampList_Status,"open")</f>
        <v>7</v>
      </c>
      <c r="E22" s="614">
        <f ca="1">'Shelter Progress'!O10</f>
        <v>7061.4248079034023</v>
      </c>
      <c r="F22" s="614">
        <f ca="1">'Shelter Progress'!R10</f>
        <v>0</v>
      </c>
      <c r="G22" s="620">
        <f t="shared" ca="1" si="0"/>
        <v>1</v>
      </c>
      <c r="H22" s="55"/>
      <c r="I22" s="55"/>
      <c r="J22" s="55"/>
      <c r="K22" s="55"/>
      <c r="L22" s="55"/>
      <c r="M22" s="55"/>
      <c r="N22" s="55"/>
      <c r="O22" s="610"/>
    </row>
    <row r="23" spans="1:21" ht="12.75" customHeight="1" x14ac:dyDescent="0.25">
      <c r="A23" s="619" t="s">
        <v>12</v>
      </c>
      <c r="B23" s="618">
        <f>SUMIFS(Camplist_HH,Camplist_Township,'Shelter Coverage &amp; Gaps'!$A23,CampList_Status,"Open")</f>
        <v>610</v>
      </c>
      <c r="C23" s="613">
        <f>SUMIFS(Camplist_Popl,Camplist_Township,'Shelter Coverage &amp; Gaps'!$A23,CampList_Status,"Open")</f>
        <v>3826</v>
      </c>
      <c r="D23" s="618">
        <f>COUNTIFS(Camplist_Township,'Shelter Coverage &amp; Gaps'!A23,CampList_Status,"open")</f>
        <v>4</v>
      </c>
      <c r="E23" s="614">
        <f ca="1">'Shelter Progress'!O11</f>
        <v>5657.4622950819676</v>
      </c>
      <c r="F23" s="614">
        <f ca="1">'Shelter Progress'!R11</f>
        <v>0</v>
      </c>
      <c r="G23" s="620">
        <f t="shared" ca="1" si="0"/>
        <v>1</v>
      </c>
      <c r="H23" s="55"/>
      <c r="I23" s="55"/>
      <c r="J23" s="55"/>
      <c r="K23" s="55"/>
      <c r="L23" s="55"/>
      <c r="M23" s="55"/>
      <c r="N23" s="55"/>
      <c r="O23" s="610"/>
    </row>
    <row r="24" spans="1:21" ht="12.75" customHeight="1" x14ac:dyDescent="0.25">
      <c r="A24" s="619" t="s">
        <v>14</v>
      </c>
      <c r="B24" s="618">
        <f>SUMIFS(Camplist_HH,Camplist_Township,'Shelter Coverage &amp; Gaps'!$A24,CampList_Status,"Open")</f>
        <v>4684</v>
      </c>
      <c r="C24" s="613">
        <f>SUMIFS(Camplist_Popl,Camplist_Township,'Shelter Coverage &amp; Gaps'!$A24,CampList_Status,"Open")</f>
        <v>19545</v>
      </c>
      <c r="D24" s="618">
        <f>COUNTIFS(Camplist_Township,'Shelter Coverage &amp; Gaps'!A24,CampList_Status,"open")</f>
        <v>5</v>
      </c>
      <c r="E24" s="614">
        <f ca="1">'Shelter Progress'!O12</f>
        <v>19390.609521776259</v>
      </c>
      <c r="F24" s="614">
        <f ca="1">'Shelter Progress'!R12</f>
        <v>154.3904782237405</v>
      </c>
      <c r="G24" s="620">
        <f t="shared" ca="1" si="0"/>
        <v>0.99210076857386853</v>
      </c>
      <c r="H24" s="55"/>
      <c r="I24" s="55"/>
      <c r="J24" s="55"/>
      <c r="K24" s="55"/>
      <c r="L24" s="55"/>
      <c r="M24" s="55"/>
      <c r="N24" s="55"/>
      <c r="O24" s="610"/>
    </row>
    <row r="25" spans="1:21" ht="12.75" customHeight="1" x14ac:dyDescent="0.25">
      <c r="A25" s="619" t="s">
        <v>18</v>
      </c>
      <c r="B25" s="618">
        <f>SUMIFS(Camplist_HH,Camplist_Township,'Shelter Coverage &amp; Gaps'!$A25,CampList_Status,"Open")</f>
        <v>78</v>
      </c>
      <c r="C25" s="613">
        <f>SUMIFS(Camplist_Popl,Camplist_Township,'Shelter Coverage &amp; Gaps'!$A25,CampList_Status,"Open")</f>
        <v>264</v>
      </c>
      <c r="D25" s="618">
        <f>COUNTIFS(Camplist_Township,'Shelter Coverage &amp; Gaps'!A25,CampList_Status,"open")</f>
        <v>2</v>
      </c>
      <c r="E25" s="614">
        <f ca="1">'Shelter Progress'!O13</f>
        <v>324.92307692307691</v>
      </c>
      <c r="F25" s="614">
        <f ca="1">'Shelter Progress'!R13</f>
        <v>0</v>
      </c>
      <c r="G25" s="620">
        <f t="shared" ca="1" si="0"/>
        <v>1</v>
      </c>
      <c r="H25" s="55"/>
      <c r="I25" s="55"/>
      <c r="J25" s="55"/>
      <c r="K25" s="55"/>
      <c r="L25" s="55"/>
      <c r="M25" s="55"/>
      <c r="N25" s="55"/>
      <c r="O25" s="610"/>
    </row>
    <row r="26" spans="1:21" ht="12.75" customHeight="1" x14ac:dyDescent="0.25">
      <c r="A26" s="619" t="s">
        <v>16</v>
      </c>
      <c r="B26" s="618">
        <f>SUMIFS(Camplist_HH,Camplist_Township,'Shelter Coverage &amp; Gaps'!$A26,CampList_Status,"Open")</f>
        <v>747</v>
      </c>
      <c r="C26" s="613">
        <f>SUMIFS(Camplist_Popl,Camplist_Township,'Shelter Coverage &amp; Gaps'!$A26,CampList_Status,"Open")</f>
        <v>4055</v>
      </c>
      <c r="D26" s="618">
        <f>COUNTIFS(Camplist_Township,'Shelter Coverage &amp; Gaps'!A26,CampList_Status,"open")</f>
        <v>5</v>
      </c>
      <c r="E26" s="614">
        <f ca="1">'Shelter Progress'!O14</f>
        <v>3257.0281124497992</v>
      </c>
      <c r="F26" s="614">
        <f ca="1">'Shelter Progress'!R14</f>
        <v>797.97188755020079</v>
      </c>
      <c r="G26" s="620">
        <f t="shared" ca="1" si="0"/>
        <v>0.80321285140562249</v>
      </c>
      <c r="H26" s="55"/>
      <c r="I26" s="55"/>
      <c r="J26" s="55"/>
      <c r="K26" s="55"/>
      <c r="L26" s="55"/>
      <c r="M26" s="55"/>
      <c r="N26" s="55"/>
      <c r="O26" s="610"/>
    </row>
    <row r="27" spans="1:21" ht="14.45" customHeight="1" x14ac:dyDescent="0.25">
      <c r="A27" s="619" t="s">
        <v>19</v>
      </c>
      <c r="B27" s="618">
        <f>SUMIFS(Camplist_HH,Camplist_Township,'Shelter Coverage &amp; Gaps'!$A27,CampList_Status,"Open")</f>
        <v>18549</v>
      </c>
      <c r="C27" s="613">
        <f>SUMIFS(Camplist_Popl,Camplist_Township,'Shelter Coverage &amp; Gaps'!$A27,CampList_Status,"Open")</f>
        <v>99208</v>
      </c>
      <c r="D27" s="618">
        <f>COUNTIFS(Camplist_Township,'Shelter Coverage &amp; Gaps'!A27,CampList_Status,"open")</f>
        <v>20</v>
      </c>
      <c r="E27" s="614">
        <f ca="1">'Shelter Progress'!O15</f>
        <v>85922.503639010189</v>
      </c>
      <c r="F27" s="614">
        <f ca="1">'Shelter Progress'!R15</f>
        <v>13285.496360989811</v>
      </c>
      <c r="G27" s="620">
        <f t="shared" ca="1" si="0"/>
        <v>0.86608442503639005</v>
      </c>
      <c r="H27" s="559"/>
      <c r="I27" s="559"/>
      <c r="J27" s="55"/>
      <c r="K27" s="55"/>
      <c r="L27" s="55"/>
      <c r="M27" s="55"/>
      <c r="N27" s="55"/>
      <c r="O27" s="610"/>
      <c r="P27" s="21"/>
      <c r="Q27" s="21"/>
      <c r="R27" s="22"/>
      <c r="S27" s="23"/>
    </row>
    <row r="28" spans="1:21" ht="15" customHeight="1" x14ac:dyDescent="0.25">
      <c r="A28" s="625" t="s">
        <v>5</v>
      </c>
      <c r="B28" s="626">
        <f>SUM(B18:B27)</f>
        <v>28015</v>
      </c>
      <c r="C28" s="626">
        <f>SUM(C18:C27)</f>
        <v>145062</v>
      </c>
      <c r="D28" s="626">
        <f>SUM(D18:D27)</f>
        <v>67</v>
      </c>
      <c r="E28" s="626">
        <f ca="1">'Shelter Progress'!O16</f>
        <v>133208.52255001711</v>
      </c>
      <c r="F28" s="626">
        <f ca="1">'Shelter Progress'!R16</f>
        <v>15676.907507251557</v>
      </c>
      <c r="G28" s="627">
        <f t="shared" ca="1" si="0"/>
        <v>0.89470489153155242</v>
      </c>
      <c r="H28" s="559"/>
      <c r="I28" s="559"/>
      <c r="J28" s="55"/>
      <c r="K28" s="55"/>
      <c r="L28" s="55"/>
      <c r="M28" s="55"/>
      <c r="N28" s="55"/>
      <c r="O28" s="610"/>
      <c r="T28" s="4"/>
      <c r="U28" s="27"/>
    </row>
    <row r="29" spans="1:21" x14ac:dyDescent="0.25">
      <c r="A29" s="609"/>
      <c r="B29" s="55"/>
      <c r="C29" s="55"/>
      <c r="D29" s="55"/>
      <c r="E29" s="55"/>
      <c r="F29" s="55"/>
      <c r="G29" s="55"/>
      <c r="H29" s="559"/>
      <c r="I29" s="559"/>
      <c r="J29" s="55"/>
      <c r="K29" s="55"/>
      <c r="L29" s="55"/>
      <c r="M29" s="55"/>
      <c r="N29" s="55"/>
      <c r="O29" s="610"/>
      <c r="S29" s="25"/>
      <c r="T29" s="4"/>
      <c r="U29" s="27"/>
    </row>
    <row r="30" spans="1:21" x14ac:dyDescent="0.25">
      <c r="A30" s="609"/>
      <c r="B30" s="55"/>
      <c r="C30" s="55"/>
      <c r="D30" s="55"/>
      <c r="E30" s="55"/>
      <c r="F30" s="55"/>
      <c r="G30" s="55"/>
      <c r="H30" s="559"/>
      <c r="I30" s="559"/>
      <c r="J30" s="55"/>
      <c r="K30" s="55"/>
      <c r="L30" s="55"/>
      <c r="M30" s="55"/>
      <c r="N30" s="55"/>
      <c r="O30" s="610"/>
      <c r="S30" s="25"/>
      <c r="T30" s="4"/>
      <c r="U30" s="27"/>
    </row>
    <row r="31" spans="1:21" x14ac:dyDescent="0.25">
      <c r="A31" s="609"/>
      <c r="B31" s="55"/>
      <c r="C31" s="55"/>
      <c r="D31" s="55"/>
      <c r="E31" s="55"/>
      <c r="F31" s="55"/>
      <c r="G31" s="55"/>
      <c r="H31" s="55"/>
      <c r="I31" s="55"/>
      <c r="J31" s="55"/>
      <c r="K31" s="55"/>
      <c r="L31" s="55"/>
      <c r="M31" s="55"/>
      <c r="N31" s="55"/>
      <c r="O31" s="610"/>
      <c r="S31" s="25"/>
      <c r="T31" s="4"/>
      <c r="U31" s="27"/>
    </row>
    <row r="32" spans="1:21" x14ac:dyDescent="0.25">
      <c r="A32" s="609"/>
      <c r="B32" s="55"/>
      <c r="C32" s="55"/>
      <c r="D32" s="55"/>
      <c r="E32" s="55"/>
      <c r="F32" s="55"/>
      <c r="G32" s="55"/>
      <c r="H32" s="55"/>
      <c r="I32" s="55"/>
      <c r="J32" s="55"/>
      <c r="K32" s="55"/>
      <c r="L32" s="55"/>
      <c r="M32" s="55"/>
      <c r="N32" s="55"/>
      <c r="O32" s="610"/>
      <c r="P32" s="101"/>
      <c r="T32" s="26"/>
      <c r="U32" s="27"/>
    </row>
    <row r="33" spans="1:21" x14ac:dyDescent="0.25">
      <c r="A33" s="609"/>
      <c r="B33" s="55"/>
      <c r="C33" s="55"/>
      <c r="D33" s="55"/>
      <c r="E33" s="55"/>
      <c r="F33" s="55"/>
      <c r="G33" s="55"/>
      <c r="H33" s="55"/>
      <c r="I33" s="55"/>
      <c r="J33" s="55"/>
      <c r="K33" s="55"/>
      <c r="L33" s="55"/>
      <c r="M33" s="55"/>
      <c r="N33" s="55"/>
      <c r="O33" s="610"/>
      <c r="P33" s="101"/>
      <c r="T33" s="26"/>
      <c r="U33" s="27"/>
    </row>
    <row r="34" spans="1:21" x14ac:dyDescent="0.25">
      <c r="A34" s="609"/>
      <c r="B34" s="55"/>
      <c r="C34" s="55"/>
      <c r="D34" s="55"/>
      <c r="E34" s="55"/>
      <c r="F34" s="55"/>
      <c r="G34" s="55"/>
      <c r="H34" s="55"/>
      <c r="I34" s="55"/>
      <c r="J34" s="55"/>
      <c r="K34" s="55"/>
      <c r="L34" s="55"/>
      <c r="M34" s="55"/>
      <c r="N34" s="55"/>
      <c r="O34" s="610"/>
      <c r="P34" s="101"/>
      <c r="T34" s="26"/>
      <c r="U34" s="27"/>
    </row>
    <row r="35" spans="1:21" x14ac:dyDescent="0.25">
      <c r="A35" s="609"/>
      <c r="B35" s="55"/>
      <c r="C35" s="55"/>
      <c r="D35" s="55"/>
      <c r="E35" s="55"/>
      <c r="F35" s="55"/>
      <c r="G35" s="55"/>
      <c r="H35" s="55"/>
      <c r="I35" s="55"/>
      <c r="J35" s="55"/>
      <c r="K35" s="55"/>
      <c r="L35" s="55"/>
      <c r="M35" s="55"/>
      <c r="N35" s="55"/>
      <c r="O35" s="610"/>
      <c r="P35" s="101"/>
      <c r="T35" s="26"/>
      <c r="U35" s="27"/>
    </row>
    <row r="36" spans="1:21" x14ac:dyDescent="0.25">
      <c r="A36" s="517"/>
      <c r="B36" s="616"/>
      <c r="C36" s="616"/>
      <c r="D36" s="616"/>
      <c r="E36" s="616"/>
      <c r="F36" s="616"/>
      <c r="G36" s="616"/>
      <c r="H36" s="616"/>
      <c r="I36" s="616"/>
      <c r="J36" s="616"/>
      <c r="K36" s="616"/>
      <c r="L36" s="616"/>
      <c r="M36" s="616"/>
      <c r="N36" s="616"/>
      <c r="O36" s="518"/>
      <c r="P36" s="101"/>
      <c r="T36" s="26"/>
      <c r="U36" s="27"/>
    </row>
    <row r="37" spans="1:21" x14ac:dyDescent="0.25">
      <c r="P37" s="101"/>
      <c r="T37" s="26"/>
      <c r="U37" s="27"/>
    </row>
    <row r="38" spans="1:21" x14ac:dyDescent="0.25">
      <c r="P38" s="101"/>
      <c r="T38" s="26"/>
      <c r="U38" s="27"/>
    </row>
    <row r="39" spans="1:21" x14ac:dyDescent="0.25">
      <c r="P39" s="101"/>
      <c r="T39" s="26"/>
      <c r="U39" s="27"/>
    </row>
    <row r="40" spans="1:21" x14ac:dyDescent="0.25">
      <c r="P40" s="101"/>
      <c r="T40" s="21"/>
      <c r="U40" s="21"/>
    </row>
    <row r="41" spans="1:21" x14ac:dyDescent="0.25">
      <c r="P41" s="101"/>
    </row>
    <row r="42" spans="1:21" x14ac:dyDescent="0.25">
      <c r="S42" s="21"/>
    </row>
    <row r="43" spans="1:21" x14ac:dyDescent="0.25">
      <c r="S43" s="21"/>
    </row>
    <row r="44" spans="1:21" x14ac:dyDescent="0.25">
      <c r="P44" s="25"/>
      <c r="Q44" s="28"/>
      <c r="S44" s="21"/>
    </row>
    <row r="45" spans="1:21" x14ac:dyDescent="0.25">
      <c r="P45" s="25"/>
      <c r="Q45" s="28"/>
    </row>
    <row r="46" spans="1:21" x14ac:dyDescent="0.25">
      <c r="P46" s="21"/>
      <c r="Q46" s="26"/>
      <c r="R46" s="21"/>
    </row>
    <row r="47" spans="1:21" x14ac:dyDescent="0.25">
      <c r="P47" s="21"/>
      <c r="Q47" s="26"/>
      <c r="R47" s="21"/>
    </row>
    <row r="48" spans="1:21" x14ac:dyDescent="0.25">
      <c r="P48" s="21"/>
      <c r="Q48" s="26"/>
      <c r="R48" s="21"/>
    </row>
    <row r="49" spans="16:18" x14ac:dyDescent="0.25">
      <c r="P49" s="21"/>
      <c r="Q49" s="21"/>
      <c r="R49" s="21"/>
    </row>
    <row r="50" spans="16:18" x14ac:dyDescent="0.25">
      <c r="Q50" s="21"/>
      <c r="R50" s="21"/>
    </row>
    <row r="51" spans="16:18" x14ac:dyDescent="0.25">
      <c r="Q51" s="21"/>
      <c r="R51" s="21"/>
    </row>
    <row r="52" spans="16:18" x14ac:dyDescent="0.25">
      <c r="Q52" s="21"/>
      <c r="R52" s="21"/>
    </row>
    <row r="79" spans="17:17" ht="19.5" x14ac:dyDescent="0.35">
      <c r="Q79" s="29"/>
    </row>
    <row r="80" spans="17:17" ht="15.75" x14ac:dyDescent="0.3">
      <c r="Q80" s="30"/>
    </row>
    <row r="81" spans="17:17" ht="15.75" x14ac:dyDescent="0.3">
      <c r="Q81" s="30"/>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5"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E36" sqref="E36"/>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144" t="s">
        <v>219</v>
      </c>
      <c r="D2" s="144"/>
      <c r="E2" s="144"/>
      <c r="F2" s="144"/>
      <c r="G2" s="144"/>
      <c r="H2" s="144"/>
      <c r="I2" s="144"/>
      <c r="J2" s="144"/>
      <c r="K2" s="144"/>
      <c r="L2" s="144"/>
      <c r="M2" s="144"/>
      <c r="N2" s="144"/>
      <c r="O2" s="144"/>
      <c r="P2" s="144"/>
      <c r="Q2" s="144"/>
      <c r="R2" s="144"/>
      <c r="S2" s="144"/>
      <c r="T2" s="144"/>
      <c r="U2" s="144"/>
      <c r="V2" s="144"/>
    </row>
    <row r="3" spans="3:27" ht="14.25" customHeight="1" x14ac:dyDescent="0.55000000000000004">
      <c r="C3" s="144"/>
      <c r="D3" s="144"/>
      <c r="E3" s="144"/>
      <c r="F3" s="144"/>
      <c r="G3" s="144"/>
      <c r="H3" s="144"/>
      <c r="I3" s="144"/>
      <c r="J3" s="144"/>
      <c r="K3" s="144"/>
      <c r="L3" s="144"/>
      <c r="M3" s="144"/>
      <c r="N3" s="144"/>
      <c r="O3" s="144"/>
      <c r="P3" s="144"/>
      <c r="Q3" s="144"/>
      <c r="R3" s="144"/>
      <c r="S3" s="144"/>
      <c r="T3" s="144"/>
      <c r="U3" s="144"/>
      <c r="V3" s="144"/>
    </row>
    <row r="4" spans="3:27" ht="14.25" customHeight="1" x14ac:dyDescent="0.55000000000000004">
      <c r="C4" s="144"/>
      <c r="D4" s="144"/>
      <c r="E4" s="144"/>
      <c r="F4" s="144"/>
      <c r="G4" s="144"/>
      <c r="H4" s="144"/>
      <c r="I4" s="144"/>
      <c r="J4" s="144"/>
      <c r="K4" s="144"/>
      <c r="L4" s="144"/>
      <c r="M4" s="144"/>
      <c r="N4" s="144"/>
      <c r="O4" s="144"/>
      <c r="P4" s="144"/>
      <c r="Q4" s="144"/>
      <c r="R4" s="144"/>
      <c r="S4" s="144"/>
      <c r="T4" s="144"/>
      <c r="U4" s="144"/>
      <c r="V4" s="144"/>
    </row>
    <row r="5" spans="3:27" ht="14.25" customHeight="1" x14ac:dyDescent="0.25">
      <c r="C5" s="758">
        <f>Report_Date</f>
        <v>42339</v>
      </c>
      <c r="D5" s="758"/>
      <c r="E5" s="758"/>
      <c r="F5" s="758"/>
      <c r="G5" s="758"/>
      <c r="H5" s="758"/>
      <c r="I5" s="758"/>
      <c r="J5" s="758"/>
      <c r="K5" s="758"/>
      <c r="L5" s="758"/>
      <c r="M5" s="758"/>
      <c r="N5" s="758"/>
      <c r="O5" s="758"/>
      <c r="P5" s="146"/>
      <c r="Q5" s="146"/>
      <c r="R5" s="146"/>
    </row>
    <row r="6" spans="3:27" ht="14.25" customHeight="1" x14ac:dyDescent="0.25"/>
    <row r="7" spans="3:27" ht="14.25" customHeight="1" x14ac:dyDescent="0.25">
      <c r="C7" s="143" t="s">
        <v>241</v>
      </c>
      <c r="D7" s="143"/>
      <c r="E7" s="36"/>
      <c r="F7" s="173" t="s">
        <v>246</v>
      </c>
      <c r="G7" s="145"/>
      <c r="H7" s="145"/>
      <c r="I7" s="145"/>
      <c r="J7" s="145"/>
      <c r="K7" s="36"/>
      <c r="L7" s="173" t="s">
        <v>239</v>
      </c>
      <c r="M7" s="145"/>
      <c r="N7" s="145"/>
      <c r="O7" s="36"/>
      <c r="P7" s="145" t="s">
        <v>244</v>
      </c>
      <c r="Q7" s="145"/>
      <c r="R7" s="145"/>
      <c r="S7" s="36"/>
      <c r="T7" s="145" t="s">
        <v>245</v>
      </c>
      <c r="U7" s="145"/>
      <c r="V7" s="145"/>
    </row>
    <row r="8" spans="3:27" ht="14.25" customHeight="1" x14ac:dyDescent="0.25">
      <c r="C8" s="143"/>
      <c r="D8" s="143"/>
      <c r="E8" s="36"/>
      <c r="F8" s="36"/>
      <c r="G8" s="36"/>
      <c r="H8" s="36"/>
      <c r="I8" s="36"/>
      <c r="J8" s="36"/>
      <c r="K8" s="36"/>
      <c r="L8" s="36"/>
      <c r="M8" s="36"/>
      <c r="N8" s="36"/>
      <c r="O8" s="36"/>
      <c r="P8" s="36"/>
      <c r="Q8" s="36"/>
      <c r="R8" s="36"/>
      <c r="S8" s="36"/>
      <c r="T8" s="36"/>
      <c r="U8" s="36"/>
      <c r="V8" s="36"/>
      <c r="AA8" s="6">
        <f>COUNTIFS(Camp_List[TOWNSHIP_NAME],$AI22,Camp_List[Total],"&gt;0",Camp_List[Status],"open",Camp_List[Type of Accomodation],AP$21)</f>
        <v>0</v>
      </c>
    </row>
    <row r="9" spans="3:27" ht="14.25" customHeight="1" x14ac:dyDescent="0.25">
      <c r="C9" s="143"/>
      <c r="D9" s="143"/>
      <c r="E9" s="36"/>
      <c r="F9" s="36"/>
      <c r="G9" s="36"/>
      <c r="H9" s="36"/>
      <c r="I9" s="36"/>
      <c r="J9" s="36"/>
      <c r="K9" s="36"/>
      <c r="L9" s="193" t="s">
        <v>7</v>
      </c>
      <c r="M9" s="110" t="s">
        <v>6</v>
      </c>
      <c r="N9" s="85" t="s">
        <v>240</v>
      </c>
      <c r="O9" s="36"/>
      <c r="P9" s="34" t="s">
        <v>7</v>
      </c>
      <c r="Q9" s="84" t="s">
        <v>6</v>
      </c>
      <c r="R9" s="85" t="s">
        <v>240</v>
      </c>
      <c r="S9" s="36"/>
      <c r="T9" s="34" t="s">
        <v>7</v>
      </c>
      <c r="U9" s="35" t="s">
        <v>6</v>
      </c>
      <c r="V9" s="33" t="s">
        <v>240</v>
      </c>
    </row>
    <row r="10" spans="3:27" ht="14.25" customHeight="1" x14ac:dyDescent="0.25">
      <c r="C10" s="143"/>
      <c r="D10" s="143"/>
      <c r="E10" s="36"/>
      <c r="F10" s="36"/>
      <c r="G10" s="36"/>
      <c r="H10" s="36"/>
      <c r="I10" s="36"/>
      <c r="J10" s="36"/>
      <c r="K10" s="36"/>
      <c r="L10" s="36"/>
      <c r="M10" s="36"/>
      <c r="N10" s="36"/>
      <c r="O10" s="36"/>
      <c r="P10" s="36"/>
      <c r="Q10" s="36"/>
      <c r="R10" s="36"/>
      <c r="S10" s="36"/>
      <c r="T10" s="36"/>
      <c r="U10" s="36"/>
      <c r="V10" s="36"/>
      <c r="Y10" s="6">
        <f>COUNTIFS(Camp_List[TOWNSHIP_NAME],$AI22,Camp_List[Total],"&gt;0",Camp_List[Status],"open",Camp_List[Type of Accomodation],AP$21)</f>
        <v>0</v>
      </c>
    </row>
    <row r="11" spans="3:27" x14ac:dyDescent="0.25">
      <c r="C11" s="143"/>
      <c r="D11" s="143"/>
      <c r="E11" s="36"/>
      <c r="F11" s="36"/>
      <c r="G11" s="36"/>
      <c r="H11" s="36"/>
      <c r="I11" s="36"/>
      <c r="J11" s="36"/>
      <c r="K11" s="36"/>
      <c r="L11" s="36"/>
      <c r="M11" s="36"/>
      <c r="N11" s="36"/>
      <c r="O11" s="36"/>
      <c r="P11" s="36"/>
      <c r="Q11" s="36"/>
      <c r="R11" s="36"/>
      <c r="S11" s="36"/>
      <c r="T11" s="36"/>
      <c r="U11" s="36"/>
      <c r="V11" s="36"/>
    </row>
    <row r="12" spans="3:27" x14ac:dyDescent="0.25">
      <c r="C12" s="143"/>
      <c r="D12" s="143"/>
      <c r="E12" s="36"/>
      <c r="F12" s="36"/>
      <c r="G12" s="36"/>
      <c r="H12" s="36"/>
      <c r="I12" s="36"/>
      <c r="J12" s="36"/>
      <c r="K12" s="36"/>
      <c r="L12" s="36"/>
      <c r="M12" s="36"/>
      <c r="N12" s="36"/>
      <c r="O12" s="36"/>
      <c r="P12" s="36"/>
      <c r="Q12" s="36"/>
      <c r="R12" s="36"/>
      <c r="S12" s="36"/>
      <c r="T12" s="36"/>
      <c r="U12" s="36"/>
      <c r="V12" s="36"/>
    </row>
    <row r="14" spans="3:27" x14ac:dyDescent="0.25">
      <c r="C14" s="143" t="s">
        <v>242</v>
      </c>
      <c r="D14" s="143"/>
      <c r="E14" s="36"/>
      <c r="F14" s="36"/>
      <c r="G14" s="36"/>
      <c r="H14" s="36"/>
      <c r="I14" s="36"/>
      <c r="J14" s="36"/>
      <c r="K14" s="36"/>
      <c r="L14" s="36"/>
      <c r="M14" s="36"/>
      <c r="N14" s="36"/>
      <c r="O14" s="36"/>
      <c r="P14" s="36"/>
      <c r="Q14" s="36"/>
      <c r="R14" s="36"/>
      <c r="S14" s="36"/>
      <c r="T14" s="36"/>
      <c r="U14" s="36"/>
      <c r="V14" s="36"/>
    </row>
    <row r="15" spans="3:27" x14ac:dyDescent="0.25">
      <c r="C15" s="143"/>
      <c r="D15" s="143"/>
      <c r="E15" s="36"/>
      <c r="F15" s="36"/>
      <c r="G15" s="36"/>
      <c r="H15" s="36"/>
      <c r="I15" s="36"/>
      <c r="J15" s="36"/>
      <c r="K15" s="36"/>
      <c r="L15" s="36"/>
      <c r="M15" s="36"/>
      <c r="N15" s="36"/>
      <c r="O15" s="36"/>
      <c r="P15" s="36"/>
      <c r="Q15" s="36"/>
      <c r="R15" s="36"/>
      <c r="S15" s="36"/>
      <c r="T15" s="36"/>
      <c r="U15" s="36"/>
      <c r="V15" s="36"/>
    </row>
    <row r="16" spans="3:27" x14ac:dyDescent="0.25">
      <c r="C16" s="143"/>
      <c r="D16" s="143"/>
      <c r="E16" s="36"/>
      <c r="F16" s="36"/>
      <c r="G16" s="36"/>
      <c r="H16" s="36"/>
      <c r="I16" s="36"/>
      <c r="J16" s="36"/>
      <c r="K16" s="36"/>
      <c r="L16" s="84" t="s">
        <v>7</v>
      </c>
      <c r="M16" s="110" t="s">
        <v>6</v>
      </c>
      <c r="N16" s="108" t="s">
        <v>240</v>
      </c>
      <c r="O16" s="36"/>
      <c r="P16" s="34" t="s">
        <v>7</v>
      </c>
      <c r="Q16" s="84" t="s">
        <v>6</v>
      </c>
      <c r="R16" s="85" t="s">
        <v>240</v>
      </c>
      <c r="S16" s="36"/>
      <c r="T16" s="34" t="s">
        <v>7</v>
      </c>
      <c r="U16" s="35" t="s">
        <v>6</v>
      </c>
      <c r="V16" s="33" t="s">
        <v>240</v>
      </c>
    </row>
    <row r="17" spans="3:26" x14ac:dyDescent="0.25">
      <c r="C17" s="143"/>
      <c r="D17" s="143"/>
      <c r="E17" s="36"/>
      <c r="F17" s="36"/>
      <c r="G17" s="36"/>
      <c r="H17" s="36"/>
      <c r="I17" s="36"/>
      <c r="J17" s="36"/>
      <c r="K17" s="36"/>
      <c r="L17" s="36"/>
      <c r="M17" s="36"/>
      <c r="N17" s="36"/>
      <c r="O17" s="36"/>
      <c r="P17" s="36"/>
      <c r="Q17" s="36"/>
      <c r="R17" s="36"/>
      <c r="S17" s="36"/>
      <c r="T17" s="36"/>
      <c r="U17" s="36"/>
      <c r="V17" s="36"/>
    </row>
    <row r="18" spans="3:26" x14ac:dyDescent="0.25">
      <c r="C18" s="143"/>
      <c r="D18" s="143"/>
      <c r="E18" s="36"/>
      <c r="F18" s="36"/>
      <c r="G18" s="36"/>
      <c r="H18" s="36"/>
      <c r="I18" s="36"/>
      <c r="J18" s="36"/>
      <c r="K18" s="36"/>
      <c r="L18" s="36"/>
      <c r="M18" s="36"/>
      <c r="N18" s="36"/>
      <c r="O18" s="36"/>
      <c r="P18" s="36"/>
      <c r="Q18" s="36"/>
      <c r="R18" s="36"/>
      <c r="S18" s="36"/>
      <c r="T18" s="36"/>
      <c r="U18" s="36"/>
      <c r="V18" s="36"/>
    </row>
    <row r="19" spans="3:26" x14ac:dyDescent="0.25">
      <c r="C19" s="143"/>
      <c r="D19" s="143"/>
      <c r="E19" s="36"/>
      <c r="F19" s="36"/>
      <c r="G19" s="36"/>
      <c r="H19" s="36"/>
      <c r="I19" s="36"/>
      <c r="J19" s="36"/>
      <c r="K19" s="36"/>
      <c r="L19" s="36"/>
      <c r="M19" s="36"/>
      <c r="N19" s="36"/>
      <c r="O19" s="36"/>
      <c r="P19" s="36"/>
      <c r="Q19" s="36"/>
      <c r="R19" s="36"/>
      <c r="S19" s="36"/>
      <c r="T19" s="36"/>
      <c r="U19" s="36"/>
      <c r="V19" s="36"/>
    </row>
    <row r="21" spans="3:26" x14ac:dyDescent="0.25">
      <c r="C21" s="143" t="s">
        <v>243</v>
      </c>
      <c r="D21" s="143"/>
      <c r="E21" s="37"/>
      <c r="F21" s="37"/>
      <c r="G21" s="37"/>
      <c r="H21" s="37"/>
      <c r="I21" s="37"/>
      <c r="J21" s="37"/>
      <c r="K21" s="37"/>
      <c r="L21" s="36"/>
      <c r="M21" s="36"/>
      <c r="N21" s="36"/>
      <c r="O21" s="36"/>
      <c r="P21" s="36"/>
      <c r="Q21" s="36"/>
      <c r="R21" s="36"/>
      <c r="S21" s="36"/>
      <c r="T21" s="36"/>
      <c r="U21" s="36"/>
      <c r="V21" s="36"/>
    </row>
    <row r="22" spans="3:26" x14ac:dyDescent="0.25">
      <c r="C22" s="143"/>
      <c r="D22" s="143"/>
      <c r="E22" s="37"/>
      <c r="F22" s="37"/>
      <c r="G22" s="37"/>
      <c r="H22" s="37"/>
      <c r="I22" s="37"/>
      <c r="J22" s="37"/>
      <c r="K22" s="37"/>
      <c r="L22" s="84" t="s">
        <v>7</v>
      </c>
      <c r="M22" s="110" t="s">
        <v>6</v>
      </c>
      <c r="N22" s="37"/>
      <c r="O22" s="36"/>
      <c r="P22" s="36"/>
      <c r="Q22" s="36"/>
      <c r="R22" s="36"/>
      <c r="S22" s="36"/>
      <c r="T22" s="16"/>
      <c r="U22" s="16"/>
      <c r="V22" s="16"/>
    </row>
    <row r="23" spans="3:26" x14ac:dyDescent="0.25">
      <c r="C23" s="143"/>
      <c r="D23" s="143"/>
      <c r="E23" s="37"/>
      <c r="F23" s="37"/>
      <c r="G23" s="37"/>
      <c r="H23" s="37"/>
      <c r="I23" s="37"/>
      <c r="J23" s="37"/>
      <c r="K23" s="37"/>
      <c r="L23" s="85" t="s">
        <v>7</v>
      </c>
      <c r="M23" s="85" t="s">
        <v>6</v>
      </c>
      <c r="N23" s="85" t="s">
        <v>240</v>
      </c>
      <c r="O23" s="36"/>
      <c r="P23" s="34" t="s">
        <v>7</v>
      </c>
      <c r="Q23" s="84" t="s">
        <v>6</v>
      </c>
      <c r="R23" s="85" t="s">
        <v>240</v>
      </c>
      <c r="S23" s="36"/>
      <c r="T23" s="34" t="s">
        <v>7</v>
      </c>
      <c r="U23" s="35" t="s">
        <v>6</v>
      </c>
      <c r="V23" s="33" t="s">
        <v>240</v>
      </c>
    </row>
    <row r="24" spans="3:26" x14ac:dyDescent="0.25">
      <c r="C24" s="143"/>
      <c r="D24" s="143"/>
      <c r="E24" s="37"/>
      <c r="F24" s="37"/>
      <c r="G24" s="37"/>
      <c r="H24" s="37"/>
      <c r="I24" s="37"/>
      <c r="J24" s="37"/>
      <c r="K24" s="37"/>
      <c r="L24" s="37"/>
      <c r="M24" s="37"/>
      <c r="N24" s="37"/>
      <c r="O24" s="36"/>
      <c r="P24" s="36"/>
      <c r="Q24" s="36"/>
      <c r="R24" s="36"/>
      <c r="S24" s="36"/>
      <c r="T24" s="16"/>
      <c r="U24" s="16"/>
      <c r="V24" s="16"/>
    </row>
    <row r="25" spans="3:26" x14ac:dyDescent="0.25">
      <c r="Z25" s="6">
        <f>COUNTIFS(Camp_List[TOWNSHIP_NAME],$AI22,Camp_List[Total],"&gt;0",Camp_List[Status],"open",Camp_List[Type of Accomodation],AP$21)</f>
        <v>0</v>
      </c>
    </row>
    <row r="30" spans="3:26" x14ac:dyDescent="0.25">
      <c r="C30" s="747"/>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P41" sqref="P41"/>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21" customWidth="1"/>
    <col min="110" max="110" width="12.7109375" style="21" customWidth="1"/>
    <col min="111" max="111" width="9.140625" style="21"/>
    <col min="112" max="112" width="11.42578125" style="21" customWidth="1"/>
    <col min="113" max="113" width="6.140625" style="5" customWidth="1"/>
    <col min="114" max="114" width="5.85546875" style="5" customWidth="1"/>
    <col min="115" max="16384" width="9.140625" style="5"/>
  </cols>
  <sheetData>
    <row r="1" spans="15:112" ht="15.75" thickBot="1" x14ac:dyDescent="0.3">
      <c r="O1" s="21"/>
      <c r="P1" s="21"/>
      <c r="S1" s="21">
        <v>19</v>
      </c>
      <c r="T1" s="151" t="s">
        <v>551</v>
      </c>
      <c r="U1" s="152"/>
      <c r="V1" s="152"/>
      <c r="W1" s="152"/>
      <c r="X1" s="152"/>
      <c r="Y1" s="152"/>
      <c r="Z1" s="152"/>
      <c r="AA1" s="153" t="s">
        <v>242</v>
      </c>
      <c r="AB1" s="151" t="s">
        <v>243</v>
      </c>
      <c r="AC1" s="152"/>
      <c r="AD1" s="100"/>
      <c r="CT1" s="5"/>
      <c r="CU1" s="5"/>
      <c r="CV1" s="5"/>
      <c r="CW1" s="5"/>
      <c r="CX1" s="5"/>
      <c r="CY1" s="5"/>
      <c r="CZ1" s="5"/>
      <c r="DA1" s="5"/>
      <c r="DB1" s="5"/>
      <c r="DC1" s="5"/>
      <c r="DD1" s="5"/>
      <c r="DE1" s="5"/>
      <c r="DF1" s="5"/>
      <c r="DG1" s="5"/>
      <c r="DH1" s="5"/>
    </row>
    <row r="2" spans="15:112" ht="15" x14ac:dyDescent="0.25">
      <c r="O2" s="21"/>
      <c r="P2" s="21"/>
      <c r="S2" s="21">
        <v>92.8</v>
      </c>
      <c r="T2" s="154" t="s">
        <v>582</v>
      </c>
      <c r="U2" s="155" t="s">
        <v>1</v>
      </c>
      <c r="V2" s="155" t="s">
        <v>584</v>
      </c>
      <c r="W2" s="156" t="s">
        <v>583</v>
      </c>
      <c r="X2" s="154" t="s">
        <v>587</v>
      </c>
      <c r="Y2" s="155" t="s">
        <v>588</v>
      </c>
      <c r="Z2" s="157" t="s">
        <v>734</v>
      </c>
      <c r="AA2" s="158" t="s">
        <v>236</v>
      </c>
      <c r="AB2" s="159" t="s">
        <v>552</v>
      </c>
      <c r="AC2" s="155" t="s">
        <v>553</v>
      </c>
      <c r="AD2" s="160" t="s">
        <v>554</v>
      </c>
      <c r="AE2" s="98" t="s">
        <v>585</v>
      </c>
      <c r="AF2" s="97" t="s">
        <v>586</v>
      </c>
      <c r="AG2" s="161" t="s">
        <v>735</v>
      </c>
      <c r="CT2" s="5"/>
      <c r="CU2" s="5"/>
      <c r="CV2" s="5"/>
      <c r="CW2" s="5"/>
      <c r="CX2" s="5"/>
      <c r="CY2" s="5"/>
      <c r="CZ2" s="5"/>
      <c r="DA2" s="5"/>
      <c r="DB2" s="5"/>
      <c r="DC2" s="5"/>
      <c r="DD2" s="5"/>
      <c r="DE2" s="5"/>
      <c r="DF2" s="5"/>
      <c r="DG2" s="5"/>
      <c r="DH2" s="5"/>
    </row>
    <row r="3" spans="15:112" ht="15" x14ac:dyDescent="0.25">
      <c r="O3" s="21"/>
      <c r="P3" s="21"/>
      <c r="S3" s="21">
        <v>600</v>
      </c>
      <c r="T3" s="162" t="s">
        <v>736</v>
      </c>
      <c r="U3" s="163" t="str">
        <f>'CCCM Dashboard'!I18</f>
        <v>Kyauk_Phyu</v>
      </c>
      <c r="V3" s="93">
        <v>93.5</v>
      </c>
      <c r="W3" s="95">
        <v>19.315330739299597</v>
      </c>
      <c r="X3" s="163">
        <f>'CCCM Dashboard'!K18</f>
        <v>492</v>
      </c>
      <c r="Y3" s="163">
        <f>'CCCM Dashboard'!L18</f>
        <v>1601</v>
      </c>
      <c r="Z3" s="163">
        <f>'CCCM Dashboard'!M18</f>
        <v>2</v>
      </c>
      <c r="AA3" s="164">
        <f ca="1">'Shelter Coverage &amp; Gaps'!G18</f>
        <v>0.97560975609756095</v>
      </c>
      <c r="AB3" s="164">
        <v>0</v>
      </c>
      <c r="AC3" s="164">
        <v>0</v>
      </c>
      <c r="AD3" s="90">
        <v>0</v>
      </c>
      <c r="AE3" s="165">
        <f t="shared" ref="AE3:AE12" si="0">$S$3-ROUND((W3-$S$1)*$S$5,0)</f>
        <v>521</v>
      </c>
      <c r="AF3" s="166">
        <f t="shared" ref="AF3:AF12" si="1">ROUND((V3-$S$2)*$S$5,0)+$S$4</f>
        <v>325</v>
      </c>
      <c r="AG3" s="167">
        <v>13</v>
      </c>
      <c r="CT3" s="5"/>
      <c r="CU3" s="5"/>
      <c r="CV3" s="5"/>
      <c r="CW3" s="5"/>
      <c r="CX3" s="5"/>
      <c r="CY3" s="5"/>
      <c r="CZ3" s="5"/>
      <c r="DA3" s="5"/>
      <c r="DB3" s="5"/>
      <c r="DC3" s="5"/>
      <c r="DD3" s="5"/>
      <c r="DE3" s="5"/>
      <c r="DF3" s="5"/>
      <c r="DG3" s="5"/>
      <c r="DH3" s="5"/>
    </row>
    <row r="4" spans="15:112" ht="15" x14ac:dyDescent="0.25">
      <c r="O4" s="21"/>
      <c r="P4" s="21"/>
      <c r="S4" s="21">
        <v>150</v>
      </c>
      <c r="T4" s="168" t="s">
        <v>737</v>
      </c>
      <c r="U4" s="163" t="str">
        <f>'CCCM Dashboard'!I19</f>
        <v>Kyauktaw</v>
      </c>
      <c r="V4" s="93">
        <v>92.954056224899546</v>
      </c>
      <c r="W4" s="95">
        <v>20.835542168674699</v>
      </c>
      <c r="X4" s="163">
        <f>'CCCM Dashboard'!K19</f>
        <v>1001</v>
      </c>
      <c r="Y4" s="163">
        <f>'CCCM Dashboard'!L19</f>
        <v>6512</v>
      </c>
      <c r="Z4" s="163">
        <f>'CCCM Dashboard'!M19</f>
        <v>0</v>
      </c>
      <c r="AA4" s="164">
        <f ca="1">'Shelter Coverage &amp; Gaps'!G19</f>
        <v>1</v>
      </c>
      <c r="AB4" s="164">
        <v>1</v>
      </c>
      <c r="AC4" s="164">
        <v>0</v>
      </c>
      <c r="AD4" s="90">
        <v>0.95387840670859536</v>
      </c>
      <c r="AE4" s="165">
        <f t="shared" si="0"/>
        <v>141</v>
      </c>
      <c r="AF4" s="166">
        <f t="shared" si="1"/>
        <v>189</v>
      </c>
      <c r="AG4" s="167">
        <v>6</v>
      </c>
      <c r="CT4" s="5"/>
      <c r="CU4" s="5"/>
      <c r="CV4" s="5"/>
      <c r="CW4" s="5"/>
      <c r="CX4" s="5"/>
      <c r="CY4" s="5"/>
      <c r="CZ4" s="5"/>
      <c r="DA4" s="5"/>
      <c r="DB4" s="5"/>
      <c r="DC4" s="5"/>
      <c r="DD4" s="5"/>
      <c r="DE4" s="5"/>
      <c r="DF4" s="5"/>
      <c r="DG4" s="5"/>
      <c r="DH4" s="5"/>
    </row>
    <row r="5" spans="15:112" ht="15" x14ac:dyDescent="0.25">
      <c r="O5" s="21"/>
      <c r="P5" s="21"/>
      <c r="S5" s="21">
        <v>250</v>
      </c>
      <c r="T5" s="162" t="s">
        <v>738</v>
      </c>
      <c r="U5" s="163" t="str">
        <f>'CCCM Dashboard'!I20</f>
        <v>Maungdaw</v>
      </c>
      <c r="V5" s="93">
        <v>92.3</v>
      </c>
      <c r="W5" s="95">
        <v>20.89</v>
      </c>
      <c r="X5" s="163">
        <f>'CCCM Dashboard'!K20</f>
        <v>219</v>
      </c>
      <c r="Y5" s="163">
        <f>'CCCM Dashboard'!L20</f>
        <v>1400</v>
      </c>
      <c r="Z5" s="163">
        <f>'CCCM Dashboard'!M20</f>
        <v>0</v>
      </c>
      <c r="AA5" s="164">
        <f ca="1">'Shelter Coverage &amp; Gaps'!G20</f>
        <v>0</v>
      </c>
      <c r="AB5" s="164">
        <v>0.69172932330827064</v>
      </c>
      <c r="AC5" s="164">
        <v>0</v>
      </c>
      <c r="AD5" s="90">
        <v>1</v>
      </c>
      <c r="AE5" s="165">
        <f t="shared" si="0"/>
        <v>127</v>
      </c>
      <c r="AF5" s="166">
        <f t="shared" si="1"/>
        <v>25</v>
      </c>
      <c r="AG5" s="167">
        <v>24</v>
      </c>
      <c r="CT5" s="5"/>
      <c r="CU5" s="5"/>
      <c r="CV5" s="5"/>
      <c r="CW5" s="5"/>
      <c r="CX5" s="5"/>
      <c r="CY5" s="5"/>
      <c r="CZ5" s="5"/>
      <c r="DA5" s="5"/>
      <c r="DB5" s="5"/>
      <c r="DC5" s="5"/>
      <c r="DD5" s="5"/>
      <c r="DE5" s="5"/>
      <c r="DF5" s="5"/>
      <c r="DG5" s="5"/>
      <c r="DH5" s="5"/>
    </row>
    <row r="6" spans="15:112" ht="15" x14ac:dyDescent="0.25">
      <c r="O6" s="21"/>
      <c r="P6" s="21"/>
      <c r="T6" s="168"/>
      <c r="U6" s="163" t="str">
        <f>'CCCM Dashboard'!I21</f>
        <v>Myebon</v>
      </c>
      <c r="V6" s="93">
        <v>93.45</v>
      </c>
      <c r="W6" s="95">
        <v>19.899999999999999</v>
      </c>
      <c r="X6" s="163">
        <f>'CCCM Dashboard'!K21</f>
        <v>724</v>
      </c>
      <c r="Y6" s="163">
        <f>'CCCM Dashboard'!L21</f>
        <v>3013</v>
      </c>
      <c r="Z6" s="163">
        <f>'CCCM Dashboard'!M21</f>
        <v>2</v>
      </c>
      <c r="AA6" s="164">
        <f ca="1">'Shelter Coverage &amp; Gaps'!G21</f>
        <v>1</v>
      </c>
      <c r="AB6" s="164"/>
      <c r="AC6" s="164"/>
      <c r="AD6" s="90"/>
      <c r="AE6" s="165">
        <f t="shared" si="0"/>
        <v>375</v>
      </c>
      <c r="AF6" s="166">
        <f t="shared" si="1"/>
        <v>313</v>
      </c>
      <c r="AG6" s="167">
        <v>1</v>
      </c>
      <c r="AI6" s="21"/>
      <c r="CT6" s="5"/>
      <c r="CU6" s="5"/>
      <c r="CV6" s="5"/>
      <c r="CW6" s="5"/>
      <c r="CX6" s="5"/>
      <c r="CY6" s="5"/>
      <c r="CZ6" s="5"/>
      <c r="DA6" s="5"/>
      <c r="DB6" s="5"/>
      <c r="DC6" s="5"/>
      <c r="DD6" s="5"/>
      <c r="DE6" s="5"/>
      <c r="DF6" s="5"/>
      <c r="DG6" s="5"/>
      <c r="DH6" s="5"/>
    </row>
    <row r="7" spans="15:112" ht="15" x14ac:dyDescent="0.25">
      <c r="O7" s="21"/>
      <c r="P7" s="21"/>
      <c r="T7" s="168" t="s">
        <v>739</v>
      </c>
      <c r="U7" s="163" t="str">
        <f>'CCCM Dashboard'!I22</f>
        <v>Minbya</v>
      </c>
      <c r="V7" s="93">
        <v>93.42</v>
      </c>
      <c r="W7" s="95">
        <v>20.39</v>
      </c>
      <c r="X7" s="163">
        <f>'CCCM Dashboard'!K22</f>
        <v>911</v>
      </c>
      <c r="Y7" s="163">
        <f>'CCCM Dashboard'!L22</f>
        <v>5638</v>
      </c>
      <c r="Z7" s="163">
        <f>'CCCM Dashboard'!M22</f>
        <v>0</v>
      </c>
      <c r="AA7" s="164">
        <f ca="1">'Shelter Coverage &amp; Gaps'!G22</f>
        <v>1</v>
      </c>
      <c r="AB7" s="164">
        <v>0</v>
      </c>
      <c r="AC7" s="164">
        <v>0</v>
      </c>
      <c r="AD7" s="90">
        <v>0</v>
      </c>
      <c r="AE7" s="165">
        <f t="shared" si="0"/>
        <v>252</v>
      </c>
      <c r="AF7" s="166">
        <f t="shared" si="1"/>
        <v>305</v>
      </c>
      <c r="AG7" s="167">
        <v>1</v>
      </c>
      <c r="CT7" s="5"/>
      <c r="CU7" s="5"/>
      <c r="CV7" s="5"/>
      <c r="CW7" s="5"/>
      <c r="CX7" s="5"/>
      <c r="CY7" s="5"/>
      <c r="CZ7" s="5"/>
      <c r="DA7" s="5"/>
      <c r="DB7" s="5"/>
      <c r="DC7" s="5"/>
      <c r="DD7" s="5"/>
      <c r="DE7" s="5"/>
      <c r="DF7" s="5"/>
      <c r="DG7" s="5"/>
      <c r="DH7" s="5"/>
    </row>
    <row r="8" spans="15:112" ht="15" x14ac:dyDescent="0.25">
      <c r="O8" s="21"/>
      <c r="P8" s="21"/>
      <c r="T8" s="162" t="s">
        <v>740</v>
      </c>
      <c r="U8" s="163" t="str">
        <f>'CCCM Dashboard'!I23</f>
        <v>Mrauk_U</v>
      </c>
      <c r="V8" s="93">
        <v>93.171744680851077</v>
      </c>
      <c r="W8" s="95">
        <v>20.580936170212777</v>
      </c>
      <c r="X8" s="163">
        <f>'CCCM Dashboard'!K23</f>
        <v>610</v>
      </c>
      <c r="Y8" s="163">
        <f>'CCCM Dashboard'!L23</f>
        <v>3826</v>
      </c>
      <c r="Z8" s="163">
        <f>'CCCM Dashboard'!M23</f>
        <v>0</v>
      </c>
      <c r="AA8" s="164">
        <f ca="1">'Shelter Coverage &amp; Gaps'!G23</f>
        <v>1</v>
      </c>
      <c r="AB8" s="164">
        <v>0</v>
      </c>
      <c r="AC8" s="164">
        <v>0</v>
      </c>
      <c r="AD8" s="90">
        <v>0</v>
      </c>
      <c r="AE8" s="165">
        <f t="shared" si="0"/>
        <v>205</v>
      </c>
      <c r="AF8" s="166">
        <f t="shared" si="1"/>
        <v>243</v>
      </c>
      <c r="AG8" s="167">
        <v>1</v>
      </c>
      <c r="CT8" s="5"/>
      <c r="CU8" s="5"/>
      <c r="CV8" s="5"/>
      <c r="CW8" s="5"/>
      <c r="CX8" s="5"/>
      <c r="CY8" s="5"/>
      <c r="CZ8" s="5"/>
      <c r="DA8" s="5"/>
      <c r="DB8" s="5"/>
      <c r="DC8" s="5"/>
      <c r="DD8" s="5"/>
      <c r="DE8" s="5"/>
      <c r="DF8" s="5"/>
      <c r="DG8" s="5"/>
      <c r="DH8" s="5"/>
    </row>
    <row r="9" spans="15:112" ht="15" x14ac:dyDescent="0.25">
      <c r="O9" s="21"/>
      <c r="P9" s="21"/>
      <c r="T9" s="168" t="s">
        <v>741</v>
      </c>
      <c r="U9" s="163" t="str">
        <f>'CCCM Dashboard'!I24</f>
        <v>Pauktaw</v>
      </c>
      <c r="V9" s="93">
        <v>93.15</v>
      </c>
      <c r="W9" s="95">
        <v>19.984999999999999</v>
      </c>
      <c r="X9" s="163">
        <f>'CCCM Dashboard'!K24</f>
        <v>4684</v>
      </c>
      <c r="Y9" s="163">
        <f>'CCCM Dashboard'!L24</f>
        <v>19545</v>
      </c>
      <c r="Z9" s="163">
        <f>'CCCM Dashboard'!M24</f>
        <v>5</v>
      </c>
      <c r="AA9" s="164">
        <f ca="1">'Shelter Coverage &amp; Gaps'!G24</f>
        <v>0.99210076857386853</v>
      </c>
      <c r="AB9" s="164">
        <v>0</v>
      </c>
      <c r="AC9" s="164">
        <v>0</v>
      </c>
      <c r="AD9" s="90">
        <v>1</v>
      </c>
      <c r="AE9" s="165">
        <f t="shared" si="0"/>
        <v>354</v>
      </c>
      <c r="AF9" s="166">
        <f t="shared" si="1"/>
        <v>238</v>
      </c>
      <c r="AG9" s="167">
        <v>8</v>
      </c>
      <c r="CT9" s="5"/>
      <c r="CU9" s="5"/>
      <c r="CV9" s="5"/>
      <c r="CW9" s="5"/>
      <c r="CX9" s="5"/>
      <c r="CY9" s="5"/>
      <c r="CZ9" s="5"/>
      <c r="DA9" s="5"/>
      <c r="DB9" s="5"/>
      <c r="DC9" s="5"/>
      <c r="DD9" s="5"/>
      <c r="DE9" s="5"/>
      <c r="DF9" s="5"/>
      <c r="DG9" s="5"/>
      <c r="DH9" s="5"/>
    </row>
    <row r="10" spans="15:112" ht="15" x14ac:dyDescent="0.25">
      <c r="O10" s="21"/>
      <c r="P10" s="21"/>
      <c r="T10" s="168"/>
      <c r="U10" s="163" t="str">
        <f>'CCCM Dashboard'!I25</f>
        <v>Ramree</v>
      </c>
      <c r="V10" s="93">
        <v>93.7</v>
      </c>
      <c r="W10" s="95">
        <v>19.033045977011483</v>
      </c>
      <c r="X10" s="163">
        <f>'CCCM Dashboard'!K25</f>
        <v>78</v>
      </c>
      <c r="Y10" s="163">
        <f>'CCCM Dashboard'!L25</f>
        <v>264</v>
      </c>
      <c r="Z10" s="163">
        <f>'CCCM Dashboard'!M25</f>
        <v>1</v>
      </c>
      <c r="AA10" s="164">
        <f ca="1">'Shelter Coverage &amp; Gaps'!G25</f>
        <v>1</v>
      </c>
      <c r="AB10" s="164"/>
      <c r="AC10" s="164"/>
      <c r="AD10" s="90"/>
      <c r="AE10" s="165">
        <f t="shared" si="0"/>
        <v>592</v>
      </c>
      <c r="AF10" s="166">
        <f t="shared" si="1"/>
        <v>375</v>
      </c>
      <c r="AG10" s="167">
        <v>1</v>
      </c>
      <c r="CT10" s="5"/>
      <c r="CU10" s="5"/>
      <c r="CV10" s="5"/>
      <c r="CW10" s="5"/>
      <c r="CX10" s="5"/>
      <c r="CY10" s="5"/>
      <c r="CZ10" s="5"/>
      <c r="DA10" s="5"/>
      <c r="DB10" s="5"/>
      <c r="DC10" s="5"/>
      <c r="DD10" s="5"/>
      <c r="DE10" s="5"/>
      <c r="DF10" s="5"/>
      <c r="DG10" s="5"/>
      <c r="DH10" s="5"/>
    </row>
    <row r="11" spans="15:112" ht="15" x14ac:dyDescent="0.25">
      <c r="O11" s="21"/>
      <c r="P11" s="21"/>
      <c r="T11" s="162" t="s">
        <v>742</v>
      </c>
      <c r="U11" s="163" t="str">
        <f>'CCCM Dashboard'!I26</f>
        <v>Rathedaung</v>
      </c>
      <c r="V11" s="93">
        <v>92.74</v>
      </c>
      <c r="W11" s="95">
        <v>20.399999999999999</v>
      </c>
      <c r="X11" s="163">
        <f>'CCCM Dashboard'!K26</f>
        <v>747</v>
      </c>
      <c r="Y11" s="163">
        <f>'CCCM Dashboard'!L26</f>
        <v>4055</v>
      </c>
      <c r="Z11" s="163">
        <f>'CCCM Dashboard'!M26</f>
        <v>4</v>
      </c>
      <c r="AA11" s="164">
        <f ca="1">'Shelter Coverage &amp; Gaps'!G26</f>
        <v>0.80321285140562249</v>
      </c>
      <c r="AB11" s="164">
        <v>0</v>
      </c>
      <c r="AC11" s="164">
        <v>0</v>
      </c>
      <c r="AD11" s="90">
        <v>0</v>
      </c>
      <c r="AE11" s="165">
        <f t="shared" si="0"/>
        <v>250</v>
      </c>
      <c r="AF11" s="166">
        <f t="shared" si="1"/>
        <v>135</v>
      </c>
      <c r="AG11" s="167">
        <v>17</v>
      </c>
      <c r="CT11" s="5"/>
      <c r="CU11" s="5"/>
      <c r="CV11" s="5"/>
      <c r="CW11" s="5"/>
      <c r="CX11" s="5"/>
      <c r="CY11" s="5"/>
      <c r="CZ11" s="5"/>
      <c r="DA11" s="5"/>
      <c r="DB11" s="5"/>
      <c r="DC11" s="5"/>
      <c r="DD11" s="5"/>
      <c r="DE11" s="5"/>
      <c r="DF11" s="5"/>
      <c r="DG11" s="5"/>
      <c r="DH11" s="5"/>
    </row>
    <row r="12" spans="15:112" ht="15.75" thickBot="1" x14ac:dyDescent="0.3">
      <c r="O12" s="21"/>
      <c r="P12" s="21"/>
      <c r="T12" s="168" t="s">
        <v>743</v>
      </c>
      <c r="U12" s="163" t="str">
        <f>'CCCM Dashboard'!I27</f>
        <v>Sittwe</v>
      </c>
      <c r="V12" s="94">
        <v>92.7</v>
      </c>
      <c r="W12" s="96">
        <v>20.11</v>
      </c>
      <c r="X12" s="163">
        <f>'CCCM Dashboard'!K27</f>
        <v>18549</v>
      </c>
      <c r="Y12" s="163">
        <f>'CCCM Dashboard'!L27</f>
        <v>99208</v>
      </c>
      <c r="Z12" s="163">
        <f>'CCCM Dashboard'!M27</f>
        <v>15</v>
      </c>
      <c r="AA12" s="164">
        <f ca="1">'Shelter Coverage &amp; Gaps'!G27</f>
        <v>0.86608442503639005</v>
      </c>
      <c r="AB12" s="164">
        <v>0</v>
      </c>
      <c r="AC12" s="164">
        <v>0</v>
      </c>
      <c r="AD12" s="90">
        <v>0</v>
      </c>
      <c r="AE12" s="165">
        <f t="shared" si="0"/>
        <v>322</v>
      </c>
      <c r="AF12" s="166">
        <f t="shared" si="1"/>
        <v>125</v>
      </c>
      <c r="AG12" s="167">
        <v>4</v>
      </c>
      <c r="CT12" s="5"/>
      <c r="CU12" s="5"/>
      <c r="CV12" s="5"/>
      <c r="CW12" s="5"/>
      <c r="CX12" s="5"/>
      <c r="CY12" s="5"/>
      <c r="CZ12" s="5"/>
      <c r="DA12" s="5"/>
      <c r="DB12" s="5"/>
      <c r="DC12" s="5"/>
      <c r="DD12" s="5"/>
      <c r="DE12" s="5"/>
      <c r="DF12" s="5"/>
      <c r="DG12" s="5"/>
      <c r="DH12" s="5"/>
    </row>
    <row r="13" spans="15:112" ht="15" x14ac:dyDescent="0.25">
      <c r="O13" s="21"/>
      <c r="P13" s="21"/>
      <c r="T13" s="162"/>
      <c r="U13" s="163" t="s">
        <v>7</v>
      </c>
      <c r="V13" s="168">
        <v>94</v>
      </c>
      <c r="W13" s="163">
        <v>20</v>
      </c>
      <c r="X13" s="167">
        <f>SUBTOTAL(109,X3:X12)</f>
        <v>28015</v>
      </c>
      <c r="Y13" s="167">
        <f>SUBTOTAL(109,Y3:Y12)</f>
        <v>145062</v>
      </c>
      <c r="Z13" s="167">
        <f>SUBTOTAL(109,Z3:Z12)</f>
        <v>29</v>
      </c>
      <c r="AA13" s="167"/>
      <c r="AB13" s="167"/>
      <c r="AC13" s="167"/>
      <c r="AD13" s="167"/>
      <c r="AE13" s="165">
        <f>$S$3-ROUND((W13-$S$1)*$S$5,0)</f>
        <v>350</v>
      </c>
      <c r="AF13" s="166">
        <f>ROUND((V13-$S$2)*$S$5,0)+$S$4</f>
        <v>450</v>
      </c>
      <c r="AG13" s="167">
        <f>SUBTOTAL(109,AG3:AG12)</f>
        <v>76</v>
      </c>
      <c r="CT13" s="5"/>
      <c r="CU13" s="5"/>
      <c r="CV13" s="5"/>
      <c r="CW13" s="5"/>
      <c r="CX13" s="5"/>
      <c r="CY13" s="5"/>
      <c r="CZ13" s="5"/>
      <c r="DA13" s="5"/>
      <c r="DB13" s="5"/>
      <c r="DC13" s="5"/>
      <c r="DD13" s="5"/>
      <c r="DE13" s="5"/>
      <c r="DF13" s="5"/>
      <c r="DG13" s="5"/>
      <c r="DH13" s="5"/>
    </row>
    <row r="14" spans="15:112" ht="15" x14ac:dyDescent="0.25">
      <c r="O14" s="21"/>
      <c r="P14" s="21"/>
      <c r="CT14" s="5"/>
      <c r="CU14" s="5"/>
      <c r="CV14" s="5"/>
      <c r="CW14" s="5"/>
      <c r="CX14" s="5"/>
      <c r="CY14" s="5"/>
      <c r="CZ14" s="5"/>
      <c r="DA14" s="5"/>
      <c r="DB14" s="5"/>
      <c r="DC14" s="5"/>
      <c r="DD14" s="5"/>
      <c r="DE14" s="5"/>
      <c r="DF14" s="5"/>
      <c r="DG14" s="5"/>
      <c r="DH14" s="5"/>
    </row>
    <row r="15" spans="15:112" ht="15" x14ac:dyDescent="0.25">
      <c r="O15" s="21"/>
      <c r="P15" s="21"/>
      <c r="CT15" s="5"/>
      <c r="CU15" s="5"/>
      <c r="CV15" s="5"/>
      <c r="CW15" s="5"/>
      <c r="CX15" s="5"/>
      <c r="CY15" s="5"/>
      <c r="CZ15" s="5"/>
      <c r="DA15" s="5"/>
      <c r="DB15" s="5"/>
      <c r="DC15" s="5"/>
      <c r="DD15" s="5"/>
      <c r="DE15" s="5"/>
      <c r="DF15" s="5"/>
      <c r="DG15" s="5"/>
      <c r="DH15" s="5"/>
    </row>
    <row r="16" spans="15:112" ht="15" x14ac:dyDescent="0.25">
      <c r="O16" s="21"/>
      <c r="P16" s="21"/>
      <c r="CT16" s="5"/>
      <c r="CU16" s="5"/>
      <c r="CV16" s="5"/>
      <c r="CW16" s="5"/>
      <c r="CX16" s="5"/>
      <c r="CY16" s="5"/>
      <c r="CZ16" s="5"/>
      <c r="DA16" s="5"/>
      <c r="DB16" s="5"/>
      <c r="DC16" s="5"/>
      <c r="DD16" s="5"/>
      <c r="DE16" s="5"/>
      <c r="DF16" s="5"/>
      <c r="DG16" s="5"/>
      <c r="DH16" s="5"/>
    </row>
    <row r="17" spans="1:112" ht="15" x14ac:dyDescent="0.25">
      <c r="O17" s="21"/>
      <c r="P17" s="21"/>
      <c r="CT17" s="5"/>
      <c r="CU17" s="5"/>
      <c r="CV17" s="5"/>
      <c r="CW17" s="5"/>
      <c r="CX17" s="5"/>
      <c r="CY17" s="5"/>
      <c r="CZ17" s="5"/>
      <c r="DA17" s="5"/>
      <c r="DB17" s="5"/>
      <c r="DC17" s="5"/>
      <c r="DD17" s="5"/>
      <c r="DE17" s="5"/>
      <c r="DF17" s="5"/>
      <c r="DG17" s="5"/>
      <c r="DH17" s="5"/>
    </row>
    <row r="18" spans="1:112" ht="15" x14ac:dyDescent="0.25">
      <c r="O18" s="21"/>
      <c r="P18" s="21"/>
      <c r="CT18" s="5"/>
      <c r="CU18" s="5"/>
      <c r="CV18" s="5"/>
      <c r="CW18" s="5"/>
      <c r="CX18" s="5"/>
      <c r="CY18" s="5"/>
      <c r="CZ18" s="5"/>
      <c r="DA18" s="5"/>
      <c r="DB18" s="5"/>
      <c r="DC18" s="5"/>
      <c r="DD18" s="5"/>
      <c r="DE18" s="5"/>
      <c r="DF18" s="5"/>
      <c r="DG18" s="5"/>
      <c r="DH18" s="5"/>
    </row>
    <row r="19" spans="1:112" ht="15" x14ac:dyDescent="0.25">
      <c r="O19" s="21"/>
      <c r="P19" s="21"/>
      <c r="CT19" s="5"/>
      <c r="CU19" s="5"/>
      <c r="CV19" s="5"/>
      <c r="CW19" s="5"/>
      <c r="CX19" s="5"/>
      <c r="CY19" s="5"/>
      <c r="CZ19" s="5"/>
      <c r="DA19" s="5"/>
      <c r="DB19" s="5"/>
      <c r="DC19" s="5"/>
      <c r="DD19" s="5"/>
      <c r="DE19" s="5"/>
      <c r="DF19" s="5"/>
      <c r="DG19" s="5"/>
      <c r="DH19" s="5"/>
    </row>
    <row r="20" spans="1:112" ht="15" x14ac:dyDescent="0.25">
      <c r="O20" s="21"/>
      <c r="P20" s="21"/>
      <c r="CT20" s="5"/>
      <c r="CU20" s="5"/>
      <c r="CV20" s="5"/>
      <c r="CW20" s="5"/>
      <c r="CX20" s="5"/>
      <c r="CY20" s="5"/>
      <c r="CZ20" s="5"/>
      <c r="DA20" s="5"/>
      <c r="DB20" s="5"/>
      <c r="DC20" s="5"/>
      <c r="DD20" s="5"/>
      <c r="DE20" s="5"/>
      <c r="DF20" s="5"/>
      <c r="DG20" s="5"/>
      <c r="DH20" s="5"/>
    </row>
    <row r="21" spans="1:112" ht="15" x14ac:dyDescent="0.25">
      <c r="DA21" s="89"/>
      <c r="DB21" s="90"/>
      <c r="DC21" s="90"/>
      <c r="DD21" s="90"/>
      <c r="DE21" s="90"/>
    </row>
    <row r="22" spans="1:112" ht="15" x14ac:dyDescent="0.25">
      <c r="A22" s="171"/>
      <c r="B22" s="171"/>
      <c r="C22" s="171"/>
      <c r="D22" s="171"/>
      <c r="E22" s="171"/>
      <c r="F22" s="171"/>
      <c r="G22" s="171"/>
      <c r="H22" s="171"/>
      <c r="I22" s="171"/>
      <c r="J22" s="171"/>
      <c r="K22" s="171"/>
      <c r="L22" s="171"/>
      <c r="M22" s="171"/>
      <c r="N22" s="172"/>
      <c r="DA22" s="89"/>
      <c r="DB22" s="90"/>
      <c r="DC22" s="90"/>
      <c r="DD22" s="90"/>
      <c r="DE22" s="90"/>
    </row>
    <row r="23" spans="1:112" ht="15" x14ac:dyDescent="0.25">
      <c r="A23" s="163"/>
      <c r="B23" s="163"/>
      <c r="C23" s="169"/>
      <c r="D23" s="169"/>
      <c r="E23" s="170"/>
      <c r="F23" s="170"/>
      <c r="G23" s="171"/>
      <c r="H23" s="171"/>
      <c r="I23" s="171"/>
      <c r="J23" s="171"/>
      <c r="K23" s="171"/>
      <c r="L23" s="171"/>
      <c r="M23" s="171"/>
      <c r="N23" s="172"/>
      <c r="DA23" s="89"/>
      <c r="DB23" s="90"/>
      <c r="DC23" s="90"/>
      <c r="DD23" s="90"/>
      <c r="DE23" s="90"/>
    </row>
    <row r="24" spans="1:112" ht="15" x14ac:dyDescent="0.25">
      <c r="G24" s="171"/>
      <c r="H24" s="171"/>
      <c r="I24" s="171"/>
      <c r="J24" s="171"/>
      <c r="K24" s="171"/>
      <c r="L24" s="171"/>
      <c r="DA24" s="89"/>
      <c r="DE24" s="1"/>
      <c r="DF24" s="66"/>
    </row>
    <row r="25" spans="1:112" ht="15" x14ac:dyDescent="0.25">
      <c r="DA25" s="89"/>
      <c r="DE25" s="1"/>
      <c r="DF25" s="66"/>
    </row>
    <row r="26" spans="1:112" ht="15" x14ac:dyDescent="0.25">
      <c r="P26" s="99"/>
      <c r="Q26" s="99"/>
      <c r="DA26" s="89"/>
      <c r="DE26" s="1"/>
      <c r="DF26" s="66"/>
    </row>
    <row r="27" spans="1:112" s="21"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89"/>
      <c r="DE27" s="1"/>
      <c r="DF27" s="66"/>
    </row>
    <row r="28" spans="1:112" s="21"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89"/>
      <c r="DE28" s="1"/>
      <c r="DF28" s="66"/>
    </row>
    <row r="29" spans="1:112" s="21"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89"/>
      <c r="DE29" s="1"/>
      <c r="DF29" s="66"/>
    </row>
    <row r="30" spans="1:112" s="21"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89"/>
      <c r="DE30" s="1"/>
      <c r="DF30" s="66"/>
    </row>
    <row r="31" spans="1:112" s="21"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89"/>
      <c r="DE31" s="1"/>
      <c r="DF31" s="66"/>
    </row>
    <row r="32" spans="1:112" s="21"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66"/>
    </row>
    <row r="33" spans="1:111" s="21"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66"/>
    </row>
    <row r="34" spans="1:111" s="21"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66"/>
    </row>
    <row r="35" spans="1:111" s="21"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66"/>
    </row>
    <row r="36" spans="1:111" s="21"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66"/>
    </row>
    <row r="37" spans="1:111" s="21"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66"/>
    </row>
    <row r="38" spans="1:111" s="21"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66"/>
    </row>
    <row r="39" spans="1:111" s="21"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66"/>
    </row>
    <row r="40" spans="1:111" s="21"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66"/>
    </row>
    <row r="41" spans="1:111" s="21"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66"/>
    </row>
    <row r="42" spans="1:111" s="21"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66"/>
    </row>
    <row r="43" spans="1:111" s="21"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66"/>
    </row>
    <row r="44" spans="1:111" s="21"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66"/>
    </row>
    <row r="45" spans="1:111" s="21"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66"/>
    </row>
    <row r="46" spans="1:111" s="21"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66"/>
      <c r="DG46" s="66"/>
    </row>
    <row r="47" spans="1:111" s="21"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66"/>
      <c r="DG47" s="66"/>
    </row>
    <row r="48" spans="1:111" s="21"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66"/>
      <c r="DG48" s="66"/>
    </row>
    <row r="49" spans="1:111" s="21"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66"/>
      <c r="DG49" s="66"/>
    </row>
    <row r="50" spans="1:111" s="21"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66"/>
      <c r="DG50" s="66"/>
    </row>
    <row r="51" spans="1:111" s="21"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66"/>
      <c r="DG51" s="66"/>
    </row>
    <row r="52" spans="1:111" s="21"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66"/>
      <c r="DG52" s="66"/>
    </row>
  </sheetData>
  <conditionalFormatting sqref="AA3:AD12">
    <cfRule type="cellIs" dxfId="334" priority="1" operator="between">
      <formula>0.4</formula>
      <formula>0.6</formula>
    </cfRule>
    <cfRule type="cellIs" dxfId="333" priority="2" operator="greaterThan">
      <formula>0.8</formula>
    </cfRule>
    <cfRule type="cellIs" dxfId="332" priority="3" operator="between">
      <formula>0.6</formula>
      <formula>0.8</formula>
    </cfRule>
    <cfRule type="cellIs" dxfId="331" priority="4" operator="between">
      <formula>0.2</formula>
      <formula>0.4</formula>
    </cfRule>
    <cfRule type="cellIs" dxfId="330"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3</xdr:col>
                <xdr:colOff>647700</xdr:colOff>
                <xdr:row>5</xdr:row>
                <xdr:rowOff>152400</xdr:rowOff>
              </from>
              <to>
                <xdr:col>3</xdr:col>
                <xdr:colOff>933450</xdr:colOff>
                <xdr:row>6</xdr:row>
                <xdr:rowOff>123825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3</xdr:col>
                <xdr:colOff>1057275</xdr:colOff>
                <xdr:row>5</xdr:row>
                <xdr:rowOff>152400</xdr:rowOff>
              </from>
              <to>
                <xdr:col>4</xdr:col>
                <xdr:colOff>76200</xdr:colOff>
                <xdr:row>6</xdr:row>
                <xdr:rowOff>114300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4</xdr:col>
                <xdr:colOff>371475</xdr:colOff>
                <xdr:row>5</xdr:row>
                <xdr:rowOff>161925</xdr:rowOff>
              </from>
              <to>
                <xdr:col>4</xdr:col>
                <xdr:colOff>647700</xdr:colOff>
                <xdr:row>6</xdr:row>
                <xdr:rowOff>123825</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3</xdr:col>
                <xdr:colOff>962025</xdr:colOff>
                <xdr:row>1</xdr:row>
                <xdr:rowOff>133350</xdr:rowOff>
              </from>
              <to>
                <xdr:col>4</xdr:col>
                <xdr:colOff>714375</xdr:colOff>
                <xdr:row>2</xdr:row>
                <xdr:rowOff>95250</xdr:rowOff>
              </to>
            </anchor>
          </controlPr>
        </control>
      </mc:Choice>
    </mc:AlternateContent>
  </controls>
  <tableParts count="1">
    <tablePart r:id="rId10"/>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F395"/>
  <sheetViews>
    <sheetView showZeros="0" zoomScale="85" zoomScaleNormal="85" workbookViewId="0">
      <selection activeCell="G5" sqref="G5"/>
    </sheetView>
  </sheetViews>
  <sheetFormatPr defaultColWidth="11.140625" defaultRowHeight="15" x14ac:dyDescent="0.25"/>
  <cols>
    <col min="1" max="1" width="7.5703125" style="43" customWidth="1"/>
    <col min="2" max="2" width="15.140625" customWidth="1"/>
    <col min="3" max="3" width="15.140625" style="43" customWidth="1"/>
    <col min="4" max="4" width="15.140625" customWidth="1"/>
    <col min="5" max="5" width="12" customWidth="1"/>
    <col min="6" max="6" width="14.28515625" customWidth="1"/>
    <col min="7" max="7" width="10.5703125" customWidth="1"/>
    <col min="8" max="8" width="25.7109375" customWidth="1"/>
    <col min="9" max="16" width="12" customWidth="1"/>
    <col min="17" max="17" width="12" style="102" customWidth="1"/>
    <col min="18" max="18" width="12" style="43" customWidth="1"/>
    <col min="19" max="19" width="6.140625" style="102" bestFit="1" customWidth="1"/>
    <col min="20" max="21" width="5.140625" style="64" hidden="1" customWidth="1"/>
    <col min="22" max="22" width="4.140625" style="64" hidden="1" customWidth="1"/>
    <col min="23" max="26" width="5.140625" style="64" hidden="1" customWidth="1"/>
    <col min="27" max="27" width="6.7109375" style="64" hidden="1" customWidth="1"/>
    <col min="28" max="29" width="5.140625" style="64" hidden="1" customWidth="1"/>
    <col min="30" max="30" width="8.140625" style="64" hidden="1" customWidth="1"/>
    <col min="31" max="31" width="16.85546875" customWidth="1"/>
    <col min="32" max="32" width="9.7109375" customWidth="1"/>
    <col min="33" max="33" width="11.140625" hidden="1" customWidth="1"/>
    <col min="34" max="35" width="0" hidden="1" customWidth="1"/>
  </cols>
  <sheetData>
    <row r="1" spans="1:58" s="1" customFormat="1" ht="36" x14ac:dyDescent="0.25">
      <c r="A1" s="207"/>
      <c r="B1" s="208"/>
      <c r="C1" s="300"/>
      <c r="D1" s="208"/>
      <c r="E1" s="208"/>
      <c r="F1" s="208"/>
      <c r="G1" s="208"/>
      <c r="H1" s="208"/>
      <c r="I1" s="208"/>
      <c r="J1" s="254">
        <f>'NFI Summary'!R3</f>
        <v>1</v>
      </c>
      <c r="K1" s="208"/>
      <c r="L1" s="208"/>
      <c r="M1" s="208"/>
      <c r="N1" s="208"/>
      <c r="O1" s="208"/>
      <c r="P1" s="255"/>
      <c r="Q1" s="255"/>
      <c r="R1" s="704"/>
      <c r="S1" s="255"/>
      <c r="T1" s="255"/>
      <c r="U1" s="255"/>
      <c r="V1" s="255"/>
      <c r="W1" s="255"/>
      <c r="X1" s="256"/>
      <c r="Y1" s="256"/>
      <c r="Z1" s="209"/>
      <c r="AA1" s="209"/>
      <c r="AB1" s="209"/>
      <c r="AC1" s="209"/>
      <c r="AD1" s="209"/>
      <c r="AE1" s="209"/>
      <c r="AF1" s="210"/>
      <c r="BE1" s="80"/>
      <c r="BF1" s="80"/>
    </row>
    <row r="2" spans="1:58" s="1" customFormat="1" ht="33" customHeight="1" x14ac:dyDescent="0.35">
      <c r="A2" s="766" t="s">
        <v>829</v>
      </c>
      <c r="B2" s="767"/>
      <c r="C2" s="767"/>
      <c r="D2" s="767"/>
      <c r="E2" s="767"/>
      <c r="F2" s="767"/>
      <c r="G2" s="767"/>
      <c r="H2" s="767"/>
      <c r="I2" s="767"/>
      <c r="J2" s="104"/>
      <c r="K2" s="104"/>
      <c r="L2" s="104"/>
      <c r="M2" s="104"/>
      <c r="N2" s="104"/>
      <c r="O2" s="104"/>
      <c r="P2" s="257"/>
      <c r="Q2" s="204"/>
      <c r="R2" s="705"/>
      <c r="S2" s="204"/>
      <c r="T2" s="204"/>
      <c r="U2" s="204"/>
      <c r="V2" s="204"/>
      <c r="W2" s="204"/>
      <c r="X2" s="204"/>
      <c r="Y2" s="204"/>
      <c r="Z2" s="204"/>
      <c r="AA2" s="204"/>
      <c r="AB2" s="204"/>
      <c r="AC2" s="204"/>
      <c r="AD2" s="204"/>
      <c r="AE2" s="204"/>
      <c r="AF2" s="211"/>
      <c r="AG2" s="102"/>
      <c r="AH2" s="102"/>
      <c r="AI2" s="102"/>
      <c r="AJ2" s="102"/>
      <c r="AK2" s="102"/>
      <c r="AL2" s="102"/>
      <c r="AM2" s="102"/>
      <c r="AN2" s="102"/>
      <c r="AO2" s="102"/>
      <c r="AP2" s="102"/>
      <c r="AQ2" s="102"/>
      <c r="AR2" s="102"/>
      <c r="AS2" s="102"/>
      <c r="BC2" s="80"/>
      <c r="BD2" s="80"/>
    </row>
    <row r="3" spans="1:58" s="21" customFormat="1" ht="18" customHeight="1" x14ac:dyDescent="0.35">
      <c r="A3" s="810">
        <f>Report_Date</f>
        <v>42339</v>
      </c>
      <c r="B3" s="811"/>
      <c r="C3" s="811"/>
      <c r="D3" s="811"/>
      <c r="E3" s="811"/>
      <c r="F3" s="811"/>
      <c r="G3" s="811"/>
      <c r="H3" s="811"/>
      <c r="I3" s="811"/>
      <c r="J3" s="104"/>
      <c r="K3" s="104"/>
      <c r="L3" s="104"/>
      <c r="M3" s="104"/>
      <c r="N3" s="104"/>
      <c r="O3" s="104"/>
      <c r="P3" s="257"/>
      <c r="Q3" s="204"/>
      <c r="R3" s="705"/>
      <c r="S3" s="204"/>
      <c r="T3" s="204"/>
      <c r="U3" s="204"/>
      <c r="V3" s="204"/>
      <c r="W3" s="204"/>
      <c r="X3" s="204"/>
      <c r="Y3" s="204"/>
      <c r="Z3" s="204"/>
      <c r="AA3" s="204"/>
      <c r="AB3" s="204"/>
      <c r="AC3" s="204"/>
      <c r="AD3" s="204"/>
      <c r="AE3" s="204"/>
      <c r="AF3" s="211"/>
      <c r="AG3" s="102"/>
      <c r="AH3" s="102"/>
      <c r="AI3" s="102"/>
      <c r="AJ3" s="102"/>
      <c r="AK3" s="102"/>
      <c r="AL3" s="102"/>
      <c r="AM3" s="102"/>
      <c r="AN3" s="102"/>
      <c r="AO3" s="102"/>
      <c r="AP3" s="102"/>
      <c r="AQ3" s="102"/>
      <c r="AR3" s="102"/>
      <c r="AS3" s="102"/>
      <c r="BC3" s="81"/>
      <c r="BD3" s="81"/>
    </row>
    <row r="4" spans="1:58" s="21" customFormat="1" ht="18" customHeight="1" x14ac:dyDescent="0.25">
      <c r="A4" s="819"/>
      <c r="B4" s="820"/>
      <c r="C4" s="820"/>
      <c r="D4" s="820"/>
      <c r="E4" s="258"/>
      <c r="F4" s="258"/>
      <c r="G4" s="258"/>
      <c r="H4" s="258"/>
      <c r="I4" s="258"/>
      <c r="J4" s="258"/>
      <c r="K4" s="258"/>
      <c r="L4" s="214"/>
      <c r="M4" s="258"/>
      <c r="N4" s="258"/>
      <c r="O4" s="258"/>
      <c r="P4" s="258"/>
      <c r="Q4" s="258"/>
      <c r="R4" s="706"/>
      <c r="S4" s="258"/>
      <c r="T4" s="258"/>
      <c r="U4" s="258"/>
      <c r="V4" s="258"/>
      <c r="W4" s="259"/>
      <c r="X4" s="258"/>
      <c r="Y4" s="258"/>
      <c r="Z4" s="214"/>
      <c r="AA4" s="214"/>
      <c r="AB4" s="214"/>
      <c r="AC4" s="214"/>
      <c r="AD4" s="214"/>
      <c r="AE4" s="214"/>
      <c r="AF4" s="215"/>
      <c r="BE4" s="81"/>
      <c r="BF4" s="81"/>
    </row>
    <row r="5" spans="1:58" s="62" customFormat="1" ht="86.25" customHeight="1" x14ac:dyDescent="0.25">
      <c r="A5" s="260" t="s">
        <v>234</v>
      </c>
      <c r="B5" s="301" t="s">
        <v>835</v>
      </c>
      <c r="C5" s="261" t="s">
        <v>212</v>
      </c>
      <c r="D5" s="261" t="s">
        <v>202</v>
      </c>
      <c r="E5" s="261" t="s">
        <v>213</v>
      </c>
      <c r="F5" s="261" t="s">
        <v>10</v>
      </c>
      <c r="G5" s="261" t="s">
        <v>1</v>
      </c>
      <c r="H5" s="261" t="s">
        <v>9</v>
      </c>
      <c r="I5" s="262" t="s">
        <v>309</v>
      </c>
      <c r="J5" s="262" t="s">
        <v>204</v>
      </c>
      <c r="K5" s="262" t="s">
        <v>310</v>
      </c>
      <c r="L5" s="262" t="s">
        <v>615</v>
      </c>
      <c r="M5" s="262" t="s">
        <v>311</v>
      </c>
      <c r="N5" s="262" t="s">
        <v>230</v>
      </c>
      <c r="O5" s="262" t="s">
        <v>231</v>
      </c>
      <c r="P5" s="262" t="s">
        <v>336</v>
      </c>
      <c r="Q5" s="262" t="s">
        <v>596</v>
      </c>
      <c r="R5" s="707" t="s">
        <v>978</v>
      </c>
      <c r="S5" s="262" t="s">
        <v>597</v>
      </c>
      <c r="T5" s="263" t="s">
        <v>945</v>
      </c>
      <c r="U5" s="263" t="s">
        <v>946</v>
      </c>
      <c r="V5" s="263" t="s">
        <v>947</v>
      </c>
      <c r="W5" s="263" t="s">
        <v>948</v>
      </c>
      <c r="X5" s="263" t="s">
        <v>949</v>
      </c>
      <c r="Y5" s="263" t="s">
        <v>950</v>
      </c>
      <c r="Z5" s="263" t="s">
        <v>951</v>
      </c>
      <c r="AA5" s="263" t="s">
        <v>952</v>
      </c>
      <c r="AB5" s="263" t="s">
        <v>953</v>
      </c>
      <c r="AC5" s="263" t="s">
        <v>986</v>
      </c>
      <c r="AD5" s="263" t="s">
        <v>954</v>
      </c>
      <c r="AE5" s="264" t="s">
        <v>582</v>
      </c>
      <c r="AF5" s="264" t="s">
        <v>355</v>
      </c>
    </row>
    <row r="6" spans="1:58" s="102" customFormat="1" ht="15" customHeight="1" x14ac:dyDescent="0.25">
      <c r="A6" s="265">
        <f t="shared" ref="A6:A69" si="0">IF(ISBLANK(C6),"",(Report_Date-C6)/30)</f>
        <v>-0.26666666666666666</v>
      </c>
      <c r="B6" s="265">
        <v>2015</v>
      </c>
      <c r="C6" s="738">
        <v>42347</v>
      </c>
      <c r="D6" s="655" t="s">
        <v>297</v>
      </c>
      <c r="E6" s="654" t="s">
        <v>643</v>
      </c>
      <c r="F6" s="655" t="s">
        <v>7</v>
      </c>
      <c r="G6" s="31" t="s">
        <v>19</v>
      </c>
      <c r="H6" s="31" t="s">
        <v>64</v>
      </c>
      <c r="I6" s="31"/>
      <c r="J6" s="61"/>
      <c r="K6" s="61"/>
      <c r="L6" s="61"/>
      <c r="M6" s="61"/>
      <c r="N6" s="61">
        <v>1598</v>
      </c>
      <c r="O6" s="61"/>
      <c r="P6" s="61"/>
      <c r="Q6" s="61"/>
      <c r="R6" s="708"/>
      <c r="S6" s="61"/>
      <c r="T6" s="150">
        <f>IF(NFI_Expiration=1,IF($A6&lt;VLOOKUP(I$5,NFI,5,0),1,0)*Data_NFI_t[[#This Row],[Hygiene Kit]],0)</f>
        <v>0</v>
      </c>
      <c r="U6" s="150">
        <f>IF(NFI_Expiration=1,IF($A6&lt;VLOOKUP(J$5,NFI,5,0),1,0)*Data_NFI_t[[#This Row],[NFI Core Kit]],0)</f>
        <v>0</v>
      </c>
      <c r="V6" s="131">
        <f>IF(NFI_Expiration=1,IF($A6&lt;VLOOKUP(K$5,NFI,5,0),1,0)*Data_NFI_t[[#This Row],[Sanitary Kit]],0)</f>
        <v>0</v>
      </c>
      <c r="W6" s="131">
        <f>IF(NFI_Expiration=1,IF($A6&lt;VLOOKUP(L$5,NFI,5,0),1,0)*Data_NFI_t[[#This Row],[Mosquito net]],0)</f>
        <v>0</v>
      </c>
      <c r="X6" s="131">
        <f>IF(NFI_Expiration=1,IF($A6&lt;VLOOKUP(M$5,NFI,5,0),1,0)*Data_NFI_t[[#This Row],[Tarpaulin]],0)</f>
        <v>0</v>
      </c>
      <c r="Y6" s="131">
        <f>IF(NFI_Expiration=1,IF($A6&lt;VLOOKUP(N$5,NFI,5,0),1,0)*Data_NFI_t[[#This Row],[Blanket]],0)</f>
        <v>1598</v>
      </c>
      <c r="Z6" s="131">
        <f>IF(NFI_Expiration=1,IF($A6&lt;VLOOKUP(O$5,NFI,5,0),1,0)*Data_NFI_t[[#This Row],[Kitchen Set]],0)</f>
        <v>0</v>
      </c>
      <c r="AA6" s="131">
        <f>IF(NFI_Expiration=1,IF($A6&lt;VLOOKUP(P$5,NFI,5,0),1,0)*Data_NFI_t[[#This Row],[Complementary Kit]],0)</f>
        <v>0</v>
      </c>
      <c r="AB6" s="131">
        <f>IF(NFI_Expiration=1,IF($A6&lt;VLOOKUP(Q$5,NFI,5,0),1,0)*Data_NFI_t[[#This Row],[Plastic Bucket]],0)</f>
        <v>0</v>
      </c>
      <c r="AC6" s="131">
        <f>IF(NFI_Expiration=1,IF($A6&lt;VLOOKUP(R$5,NFI,5,0),1,0)*Data_NFI_t[[#This Row],[Jerry Can]],0)</f>
        <v>0</v>
      </c>
      <c r="AD6" s="150">
        <f>IF(NFI_Expiration=1,IF($A6&lt;VLOOKUP(S$5,NFI,5,0),1,0)*Data_NFI_t[[#This Row],[Plastic Mat]],0)*IF(Data_NFI_t[[#This Row],[Distribution Date]]&gt;"01-04-2014",1,2.5)</f>
        <v>0</v>
      </c>
      <c r="AE6" s="150" t="str">
        <f ca="1">IFERROR(OFFSET(Camp_List[P_Code],MATCH(Data_NFI_t[[#This Row],[Camp Name]],Camp_List[Camp Name],0)-1,0,1,1),"")</f>
        <v>MMR012CMP042</v>
      </c>
      <c r="AF6" s="714" t="str">
        <f ca="1">IFERROR(OFFSET(Camp_List[Status],MATCH(Data_NFI_t[[#This Row],[Camp Name]],Camp_List[Camp Name],0)-1,0,1,1),"")</f>
        <v>Open</v>
      </c>
    </row>
    <row r="7" spans="1:58" s="102" customFormat="1" ht="15" customHeight="1" x14ac:dyDescent="0.25">
      <c r="A7" s="265">
        <f t="shared" si="0"/>
        <v>0.26666666666666666</v>
      </c>
      <c r="B7" s="265">
        <v>2015</v>
      </c>
      <c r="C7" s="738">
        <v>42331</v>
      </c>
      <c r="D7" s="655" t="s">
        <v>643</v>
      </c>
      <c r="E7" s="654"/>
      <c r="F7" s="655" t="s">
        <v>7</v>
      </c>
      <c r="G7" s="31" t="s">
        <v>14</v>
      </c>
      <c r="H7" s="31" t="s">
        <v>40</v>
      </c>
      <c r="I7" s="31"/>
      <c r="J7" s="61">
        <v>986</v>
      </c>
      <c r="K7" s="61"/>
      <c r="L7" s="61">
        <v>1972</v>
      </c>
      <c r="M7" s="61">
        <v>986</v>
      </c>
      <c r="N7" s="61">
        <v>1972</v>
      </c>
      <c r="O7" s="61">
        <v>986</v>
      </c>
      <c r="P7" s="61"/>
      <c r="Q7" s="61">
        <v>968</v>
      </c>
      <c r="R7" s="708">
        <v>986</v>
      </c>
      <c r="S7" s="61">
        <v>4930</v>
      </c>
      <c r="T7" s="150">
        <f>IF(NFI_Expiration=1,IF($A7&lt;VLOOKUP(I$5,NFI,5,0),1,0)*Data_NFI_t[[#This Row],[Hygiene Kit]],0)</f>
        <v>0</v>
      </c>
      <c r="U7" s="150">
        <f>IF(NFI_Expiration=1,IF($A7&lt;VLOOKUP(J$5,NFI,5,0),1,0)*Data_NFI_t[[#This Row],[NFI Core Kit]],0)</f>
        <v>986</v>
      </c>
      <c r="V7" s="131">
        <f>IF(NFI_Expiration=1,IF($A7&lt;VLOOKUP(K$5,NFI,5,0),1,0)*Data_NFI_t[[#This Row],[Sanitary Kit]],0)</f>
        <v>0</v>
      </c>
      <c r="W7" s="131">
        <f>IF(NFI_Expiration=1,IF($A7&lt;VLOOKUP(L$5,NFI,5,0),1,0)*Data_NFI_t[[#This Row],[Mosquito net]],0)</f>
        <v>1972</v>
      </c>
      <c r="X7" s="131">
        <f>IF(NFI_Expiration=1,IF($A7&lt;VLOOKUP(M$5,NFI,5,0),1,0)*Data_NFI_t[[#This Row],[Tarpaulin]],0)</f>
        <v>986</v>
      </c>
      <c r="Y7" s="131">
        <f>IF(NFI_Expiration=1,IF($A7&lt;VLOOKUP(N$5,NFI,5,0),1,0)*Data_NFI_t[[#This Row],[Blanket]],0)</f>
        <v>1972</v>
      </c>
      <c r="Z7" s="131">
        <f>IF(NFI_Expiration=1,IF($A7&lt;VLOOKUP(O$5,NFI,5,0),1,0)*Data_NFI_t[[#This Row],[Kitchen Set]],0)</f>
        <v>986</v>
      </c>
      <c r="AA7" s="131">
        <f>IF(NFI_Expiration=1,IF($A7&lt;VLOOKUP(P$5,NFI,5,0),1,0)*Data_NFI_t[[#This Row],[Complementary Kit]],0)</f>
        <v>0</v>
      </c>
      <c r="AB7" s="131">
        <f>IF(NFI_Expiration=1,IF($A7&lt;VLOOKUP(Q$5,NFI,5,0),1,0)*Data_NFI_t[[#This Row],[Plastic Bucket]],0)</f>
        <v>968</v>
      </c>
      <c r="AC7" s="131">
        <f>IF(NFI_Expiration=1,IF($A7&lt;VLOOKUP(R$5,NFI,5,0),1,0)*Data_NFI_t[[#This Row],[Jerry Can]],0)</f>
        <v>986</v>
      </c>
      <c r="AD7" s="150">
        <f>IF(NFI_Expiration=1,IF($A7&lt;VLOOKUP(S$5,NFI,5,0),1,0)*Data_NFI_t[[#This Row],[Plastic Mat]],0)*IF(Data_NFI_t[[#This Row],[Distribution Date]]&gt;"01-04-2014",1,2.5)</f>
        <v>12325</v>
      </c>
      <c r="AE7" s="150" t="str">
        <f ca="1">IFERROR(OFFSET(Camp_List[P_Code],MATCH(Data_NFI_t[[#This Row],[Camp Name]],Camp_List[Camp Name],0)-1,0,1,1),"")</f>
        <v>MMR012CMP016</v>
      </c>
      <c r="AF7" s="714" t="str">
        <f ca="1">IFERROR(OFFSET(Camp_List[Status],MATCH(Data_NFI_t[[#This Row],[Camp Name]],Camp_List[Camp Name],0)-1,0,1,1),"")</f>
        <v>Open</v>
      </c>
    </row>
    <row r="8" spans="1:58" s="102" customFormat="1" ht="15" customHeight="1" x14ac:dyDescent="0.25">
      <c r="A8" s="265">
        <f t="shared" si="0"/>
        <v>0.4</v>
      </c>
      <c r="B8" s="265">
        <v>2015</v>
      </c>
      <c r="C8" s="738">
        <v>42327</v>
      </c>
      <c r="D8" s="655" t="s">
        <v>988</v>
      </c>
      <c r="E8" s="654" t="s">
        <v>643</v>
      </c>
      <c r="F8" s="655" t="s">
        <v>7</v>
      </c>
      <c r="G8" s="31" t="s">
        <v>14</v>
      </c>
      <c r="H8" s="31" t="s">
        <v>41</v>
      </c>
      <c r="I8" s="31"/>
      <c r="J8" s="61"/>
      <c r="K8" s="61"/>
      <c r="L8" s="61">
        <v>1563</v>
      </c>
      <c r="M8" s="61"/>
      <c r="N8" s="61"/>
      <c r="O8" s="61"/>
      <c r="P8" s="61"/>
      <c r="Q8" s="61"/>
      <c r="R8" s="708"/>
      <c r="S8" s="61"/>
      <c r="T8" s="150">
        <f>IF(NFI_Expiration=1,IF($A8&lt;VLOOKUP(I$5,NFI,5,0),1,0)*Data_NFI_t[[#This Row],[Hygiene Kit]],0)</f>
        <v>0</v>
      </c>
      <c r="U8" s="150">
        <f>IF(NFI_Expiration=1,IF($A8&lt;VLOOKUP(J$5,NFI,5,0),1,0)*Data_NFI_t[[#This Row],[NFI Core Kit]],0)</f>
        <v>0</v>
      </c>
      <c r="V8" s="131">
        <f>IF(NFI_Expiration=1,IF($A8&lt;VLOOKUP(K$5,NFI,5,0),1,0)*Data_NFI_t[[#This Row],[Sanitary Kit]],0)</f>
        <v>0</v>
      </c>
      <c r="W8" s="131">
        <f>IF(NFI_Expiration=1,IF($A8&lt;VLOOKUP(L$5,NFI,5,0),1,0)*Data_NFI_t[[#This Row],[Mosquito net]],0)</f>
        <v>1563</v>
      </c>
      <c r="X8" s="131">
        <f>IF(NFI_Expiration=1,IF($A8&lt;VLOOKUP(M$5,NFI,5,0),1,0)*Data_NFI_t[[#This Row],[Tarpaulin]],0)</f>
        <v>0</v>
      </c>
      <c r="Y8" s="131">
        <f>IF(NFI_Expiration=1,IF($A8&lt;VLOOKUP(N$5,NFI,5,0),1,0)*Data_NFI_t[[#This Row],[Blanket]],0)</f>
        <v>0</v>
      </c>
      <c r="Z8" s="131">
        <f>IF(NFI_Expiration=1,IF($A8&lt;VLOOKUP(O$5,NFI,5,0),1,0)*Data_NFI_t[[#This Row],[Kitchen Set]],0)</f>
        <v>0</v>
      </c>
      <c r="AA8" s="131">
        <f>IF(NFI_Expiration=1,IF($A8&lt;VLOOKUP(P$5,NFI,5,0),1,0)*Data_NFI_t[[#This Row],[Complementary Kit]],0)</f>
        <v>0</v>
      </c>
      <c r="AB8" s="131">
        <f>IF(NFI_Expiration=1,IF($A8&lt;VLOOKUP(Q$5,NFI,5,0),1,0)*Data_NFI_t[[#This Row],[Plastic Bucket]],0)</f>
        <v>0</v>
      </c>
      <c r="AC8" s="131">
        <f>IF(NFI_Expiration=1,IF($A8&lt;VLOOKUP(R$5,NFI,5,0),1,0)*Data_NFI_t[[#This Row],[Jerry Can]],0)</f>
        <v>0</v>
      </c>
      <c r="AD8" s="150">
        <f>IF(NFI_Expiration=1,IF($A8&lt;VLOOKUP(S$5,NFI,5,0),1,0)*Data_NFI_t[[#This Row],[Plastic Mat]],0)*IF(Data_NFI_t[[#This Row],[Distribution Date]]&gt;"01-04-2014",1,2.5)</f>
        <v>0</v>
      </c>
      <c r="AE8" s="150" t="str">
        <f ca="1">IFERROR(OFFSET(Camp_List[P_Code],MATCH(Data_NFI_t[[#This Row],[Camp Name]],Camp_List[Camp Name],0)-1,0,1,1),"")</f>
        <v>MMR012CMP017</v>
      </c>
      <c r="AF8" s="714" t="str">
        <f ca="1">IFERROR(OFFSET(Camp_List[Status],MATCH(Data_NFI_t[[#This Row],[Camp Name]],Camp_List[Camp Name],0)-1,0,1,1),"")</f>
        <v>Open</v>
      </c>
    </row>
    <row r="9" spans="1:58" s="102" customFormat="1" ht="15" customHeight="1" x14ac:dyDescent="0.25">
      <c r="A9" s="265">
        <f t="shared" si="0"/>
        <v>0.43333333333333335</v>
      </c>
      <c r="B9" s="265">
        <v>2015</v>
      </c>
      <c r="C9" s="738">
        <v>42326</v>
      </c>
      <c r="D9" s="655" t="s">
        <v>643</v>
      </c>
      <c r="E9" s="654" t="s">
        <v>643</v>
      </c>
      <c r="F9" s="655" t="s">
        <v>7</v>
      </c>
      <c r="G9" s="31" t="s">
        <v>14</v>
      </c>
      <c r="H9" s="31" t="s">
        <v>39</v>
      </c>
      <c r="I9" s="31"/>
      <c r="J9" s="61">
        <v>21</v>
      </c>
      <c r="K9" s="61"/>
      <c r="L9" s="61">
        <v>42</v>
      </c>
      <c r="M9" s="61">
        <v>21</v>
      </c>
      <c r="N9" s="61">
        <v>42</v>
      </c>
      <c r="O9" s="61">
        <v>21</v>
      </c>
      <c r="P9" s="61"/>
      <c r="Q9" s="61">
        <v>21</v>
      </c>
      <c r="R9" s="708">
        <v>21</v>
      </c>
      <c r="S9" s="61">
        <v>105</v>
      </c>
      <c r="T9" s="150">
        <f>IF(NFI_Expiration=1,IF($A9&lt;VLOOKUP(I$5,NFI,5,0),1,0)*Data_NFI_t[[#This Row],[Hygiene Kit]],0)</f>
        <v>0</v>
      </c>
      <c r="U9" s="150">
        <f>IF(NFI_Expiration=1,IF($A9&lt;VLOOKUP(J$5,NFI,5,0),1,0)*Data_NFI_t[[#This Row],[NFI Core Kit]],0)</f>
        <v>21</v>
      </c>
      <c r="V9" s="131">
        <f>IF(NFI_Expiration=1,IF($A9&lt;VLOOKUP(K$5,NFI,5,0),1,0)*Data_NFI_t[[#This Row],[Sanitary Kit]],0)</f>
        <v>0</v>
      </c>
      <c r="W9" s="131">
        <f>IF(NFI_Expiration=1,IF($A9&lt;VLOOKUP(L$5,NFI,5,0),1,0)*Data_NFI_t[[#This Row],[Mosquito net]],0)</f>
        <v>42</v>
      </c>
      <c r="X9" s="131">
        <f>IF(NFI_Expiration=1,IF($A9&lt;VLOOKUP(M$5,NFI,5,0),1,0)*Data_NFI_t[[#This Row],[Tarpaulin]],0)</f>
        <v>21</v>
      </c>
      <c r="Y9" s="131">
        <f>IF(NFI_Expiration=1,IF($A9&lt;VLOOKUP(N$5,NFI,5,0),1,0)*Data_NFI_t[[#This Row],[Blanket]],0)</f>
        <v>42</v>
      </c>
      <c r="Z9" s="131">
        <f>IF(NFI_Expiration=1,IF($A9&lt;VLOOKUP(O$5,NFI,5,0),1,0)*Data_NFI_t[[#This Row],[Kitchen Set]],0)</f>
        <v>21</v>
      </c>
      <c r="AA9" s="131">
        <f>IF(NFI_Expiration=1,IF($A9&lt;VLOOKUP(P$5,NFI,5,0),1,0)*Data_NFI_t[[#This Row],[Complementary Kit]],0)</f>
        <v>0</v>
      </c>
      <c r="AB9" s="131">
        <f>IF(NFI_Expiration=1,IF($A9&lt;VLOOKUP(Q$5,NFI,5,0),1,0)*Data_NFI_t[[#This Row],[Plastic Bucket]],0)</f>
        <v>21</v>
      </c>
      <c r="AC9" s="131">
        <f>IF(NFI_Expiration=1,IF($A9&lt;VLOOKUP(R$5,NFI,5,0),1,0)*Data_NFI_t[[#This Row],[Jerry Can]],0)</f>
        <v>21</v>
      </c>
      <c r="AD9" s="150">
        <f>IF(NFI_Expiration=1,IF($A9&lt;VLOOKUP(S$5,NFI,5,0),1,0)*Data_NFI_t[[#This Row],[Plastic Mat]],0)*IF(Data_NFI_t[[#This Row],[Distribution Date]]&gt;"01-04-2014",1,2.5)</f>
        <v>262.5</v>
      </c>
      <c r="AE9" s="150" t="str">
        <f ca="1">IFERROR(OFFSET(Camp_List[P_Code],MATCH(Data_NFI_t[[#This Row],[Camp Name]],Camp_List[Camp Name],0)-1,0,1,1),"")</f>
        <v>MMR012CMP015</v>
      </c>
      <c r="AF9" s="714" t="str">
        <f ca="1">IFERROR(OFFSET(Camp_List[Status],MATCH(Data_NFI_t[[#This Row],[Camp Name]],Camp_List[Camp Name],0)-1,0,1,1),"")</f>
        <v>Open</v>
      </c>
    </row>
    <row r="10" spans="1:58" s="102" customFormat="1" ht="15" customHeight="1" x14ac:dyDescent="0.25">
      <c r="A10" s="265">
        <f t="shared" si="0"/>
        <v>10.966666666666667</v>
      </c>
      <c r="B10" s="265">
        <v>2015</v>
      </c>
      <c r="C10" s="738">
        <v>42010</v>
      </c>
      <c r="D10" s="655" t="s">
        <v>288</v>
      </c>
      <c r="E10" s="654" t="s">
        <v>288</v>
      </c>
      <c r="F10" s="655" t="s">
        <v>7</v>
      </c>
      <c r="G10" s="31" t="s">
        <v>20</v>
      </c>
      <c r="H10" s="31" t="s">
        <v>921</v>
      </c>
      <c r="I10" s="31">
        <v>16</v>
      </c>
      <c r="J10" s="61">
        <v>16</v>
      </c>
      <c r="K10" s="61">
        <v>16</v>
      </c>
      <c r="L10" s="61">
        <v>32</v>
      </c>
      <c r="M10" s="61">
        <v>0</v>
      </c>
      <c r="N10" s="61">
        <v>32</v>
      </c>
      <c r="O10" s="61">
        <v>8</v>
      </c>
      <c r="P10" s="61">
        <v>0</v>
      </c>
      <c r="Q10" s="61">
        <v>16</v>
      </c>
      <c r="R10" s="708">
        <v>16</v>
      </c>
      <c r="S10" s="61">
        <v>40</v>
      </c>
      <c r="T10" s="150">
        <f>IF(NFI_Expiration=1,IF($A10&lt;VLOOKUP(I$5,NFI,5,0),1,0)*Data_NFI_t[[#This Row],[Hygiene Kit]],0)</f>
        <v>16</v>
      </c>
      <c r="U10" s="150">
        <f>IF(NFI_Expiration=1,IF($A10&lt;VLOOKUP(J$5,NFI,5,0),1,0)*Data_NFI_t[[#This Row],[NFI Core Kit]],0)</f>
        <v>16</v>
      </c>
      <c r="V10" s="131">
        <f>IF(NFI_Expiration=1,IF($A10&lt;VLOOKUP(K$5,NFI,5,0),1,0)*Data_NFI_t[[#This Row],[Sanitary Kit]],0)</f>
        <v>16</v>
      </c>
      <c r="W10" s="131">
        <f>IF(NFI_Expiration=1,IF($A10&lt;VLOOKUP(L$5,NFI,5,0),1,0)*Data_NFI_t[[#This Row],[Mosquito net]],0)</f>
        <v>32</v>
      </c>
      <c r="X10" s="131">
        <f>IF(NFI_Expiration=1,IF($A10&lt;VLOOKUP(M$5,NFI,5,0),1,0)*Data_NFI_t[[#This Row],[Tarpaulin]],0)</f>
        <v>0</v>
      </c>
      <c r="Y10" s="131">
        <f>IF(NFI_Expiration=1,IF($A10&lt;VLOOKUP(N$5,NFI,5,0),1,0)*Data_NFI_t[[#This Row],[Blanket]],0)</f>
        <v>32</v>
      </c>
      <c r="Z10" s="131">
        <f>IF(NFI_Expiration=1,IF($A10&lt;VLOOKUP(O$5,NFI,5,0),1,0)*Data_NFI_t[[#This Row],[Kitchen Set]],0)</f>
        <v>8</v>
      </c>
      <c r="AA10" s="131">
        <f>IF(NFI_Expiration=1,IF($A10&lt;VLOOKUP(P$5,NFI,5,0),1,0)*Data_NFI_t[[#This Row],[Complementary Kit]],0)</f>
        <v>0</v>
      </c>
      <c r="AB10" s="131">
        <f>IF(NFI_Expiration=1,IF($A10&lt;VLOOKUP(Q$5,NFI,5,0),1,0)*Data_NFI_t[[#This Row],[Plastic Bucket]],0)</f>
        <v>16</v>
      </c>
      <c r="AC10" s="131">
        <f>IF(NFI_Expiration=1,IF($A10&lt;VLOOKUP(R$5,NFI,5,0),1,0)*Data_NFI_t[[#This Row],[Jerry Can]],0)</f>
        <v>16</v>
      </c>
      <c r="AD10" s="150">
        <f>IF(NFI_Expiration=1,IF($A10&lt;VLOOKUP(S$5,NFI,5,0),1,0)*Data_NFI_t[[#This Row],[Plastic Mat]],0)*IF(Data_NFI_t[[#This Row],[Distribution Date]]&gt;"01-04-2014",1,2.5)</f>
        <v>100</v>
      </c>
      <c r="AE10" s="150" t="str">
        <f ca="1">IFERROR(OFFSET(Camp_List[P_Code],MATCH(Data_NFI_t[[#This Row],[Camp Name]],Camp_List[Camp Name],0)-1,0,1,1),"")</f>
        <v>MMR012CMP094</v>
      </c>
      <c r="AF10" s="714" t="str">
        <f ca="1">IFERROR(OFFSET(Camp_List[Status],MATCH(Data_NFI_t[[#This Row],[Camp Name]],Camp_List[Camp Name],0)-1,0,1,1),"")</f>
        <v>Open</v>
      </c>
    </row>
    <row r="11" spans="1:58" s="102" customFormat="1" ht="15" customHeight="1" x14ac:dyDescent="0.25">
      <c r="A11" s="265">
        <f t="shared" si="0"/>
        <v>1.8</v>
      </c>
      <c r="B11" s="265">
        <f>YEAR(Data_NFI_t[[#This Row],[Distribution Date]])</f>
        <v>2015</v>
      </c>
      <c r="C11" s="738">
        <v>42285</v>
      </c>
      <c r="D11" s="655" t="s">
        <v>288</v>
      </c>
      <c r="E11" s="654" t="s">
        <v>643</v>
      </c>
      <c r="F11" s="655" t="s">
        <v>7</v>
      </c>
      <c r="G11" s="31" t="s">
        <v>19</v>
      </c>
      <c r="H11" s="31" t="s">
        <v>64</v>
      </c>
      <c r="I11" s="31"/>
      <c r="J11" s="61"/>
      <c r="K11" s="61"/>
      <c r="L11" s="61">
        <v>252</v>
      </c>
      <c r="M11" s="61">
        <v>127</v>
      </c>
      <c r="N11" s="61">
        <v>252</v>
      </c>
      <c r="O11" s="61">
        <v>127</v>
      </c>
      <c r="P11" s="61"/>
      <c r="Q11" s="61">
        <v>127</v>
      </c>
      <c r="R11" s="708">
        <v>127</v>
      </c>
      <c r="S11" s="61">
        <v>635</v>
      </c>
      <c r="T11" s="150">
        <f>IF(NFI_Expiration=1,IF($A11&lt;VLOOKUP(I$5,NFI,5,0),1,0)*Data_NFI_t[[#This Row],[Hygiene Kit]],0)</f>
        <v>0</v>
      </c>
      <c r="U11" s="150">
        <f>IF(NFI_Expiration=1,IF($A11&lt;VLOOKUP(J$5,NFI,5,0),1,0)*Data_NFI_t[[#This Row],[NFI Core Kit]],0)</f>
        <v>0</v>
      </c>
      <c r="V11" s="131">
        <f>IF(NFI_Expiration=1,IF($A11&lt;VLOOKUP(K$5,NFI,5,0),1,0)*Data_NFI_t[[#This Row],[Sanitary Kit]],0)</f>
        <v>0</v>
      </c>
      <c r="W11" s="131">
        <f>IF(NFI_Expiration=1,IF($A11&lt;VLOOKUP(L$5,NFI,5,0),1,0)*Data_NFI_t[[#This Row],[Mosquito net]],0)</f>
        <v>252</v>
      </c>
      <c r="X11" s="131">
        <f>IF(NFI_Expiration=1,IF($A11&lt;VLOOKUP(M$5,NFI,5,0),1,0)*Data_NFI_t[[#This Row],[Tarpaulin]],0)</f>
        <v>127</v>
      </c>
      <c r="Y11" s="131">
        <f>IF(NFI_Expiration=1,IF($A11&lt;VLOOKUP(N$5,NFI,5,0),1,0)*Data_NFI_t[[#This Row],[Blanket]],0)</f>
        <v>252</v>
      </c>
      <c r="Z11" s="131">
        <f>IF(NFI_Expiration=1,IF($A11&lt;VLOOKUP(O$5,NFI,5,0),1,0)*Data_NFI_t[[#This Row],[Kitchen Set]],0)</f>
        <v>127</v>
      </c>
      <c r="AA11" s="131">
        <f>IF(NFI_Expiration=1,IF($A11&lt;VLOOKUP(P$5,NFI,5,0),1,0)*Data_NFI_t[[#This Row],[Complementary Kit]],0)</f>
        <v>0</v>
      </c>
      <c r="AB11" s="131">
        <f>IF(NFI_Expiration=1,IF($A11&lt;VLOOKUP(Q$5,NFI,5,0),1,0)*Data_NFI_t[[#This Row],[Plastic Bucket]],0)</f>
        <v>127</v>
      </c>
      <c r="AC11" s="131">
        <f>IF(NFI_Expiration=1,IF($A11&lt;VLOOKUP(R$5,NFI,5,0),1,0)*Data_NFI_t[[#This Row],[Jerry Can]],0)</f>
        <v>127</v>
      </c>
      <c r="AD11" s="150">
        <f>IF(NFI_Expiration=1,IF($A11&lt;VLOOKUP(S$5,NFI,5,0),1,0)*Data_NFI_t[[#This Row],[Plastic Mat]],0)*IF(Data_NFI_t[[#This Row],[Distribution Date]]&gt;"01-04-2014",1,2.5)</f>
        <v>1587.5</v>
      </c>
      <c r="AE11" s="150" t="str">
        <f ca="1">IFERROR(OFFSET(Camp_List[P_Code],MATCH(Data_NFI_t[[#This Row],[Camp Name]],Camp_List[Camp Name],0)-1,0,1,1),"")</f>
        <v>MMR012CMP042</v>
      </c>
      <c r="AF11" s="714" t="str">
        <f ca="1">IFERROR(OFFSET(Camp_List[Status],MATCH(Data_NFI_t[[#This Row],[Camp Name]],Camp_List[Camp Name],0)-1,0,1,1),"")</f>
        <v>Open</v>
      </c>
    </row>
    <row r="12" spans="1:58" s="102" customFormat="1" ht="15" customHeight="1" x14ac:dyDescent="0.25">
      <c r="A12" s="265">
        <f t="shared" si="0"/>
        <v>1.8</v>
      </c>
      <c r="B12" s="265">
        <f>YEAR(Data_NFI_t[[#This Row],[Distribution Date]])</f>
        <v>2015</v>
      </c>
      <c r="C12" s="738">
        <v>42285</v>
      </c>
      <c r="D12" s="655" t="s">
        <v>643</v>
      </c>
      <c r="E12" s="654"/>
      <c r="F12" s="655" t="s">
        <v>7</v>
      </c>
      <c r="G12" s="31" t="s">
        <v>19</v>
      </c>
      <c r="H12" s="31" t="s">
        <v>64</v>
      </c>
      <c r="I12" s="31"/>
      <c r="J12" s="61"/>
      <c r="K12" s="61"/>
      <c r="L12" s="61" t="s">
        <v>980</v>
      </c>
      <c r="M12" s="61">
        <v>1</v>
      </c>
      <c r="N12" s="61" t="s">
        <v>980</v>
      </c>
      <c r="O12" s="61" t="s">
        <v>981</v>
      </c>
      <c r="P12" s="61"/>
      <c r="Q12" s="61" t="s">
        <v>981</v>
      </c>
      <c r="R12" s="708"/>
      <c r="S12" s="61" t="s">
        <v>982</v>
      </c>
      <c r="T12" s="150">
        <f>IF(NFI_Expiration=1,IF($A12&lt;VLOOKUP(I$5,NFI,5,0),1,0)*Data_NFI_t[[#This Row],[Hygiene Kit]],0)</f>
        <v>0</v>
      </c>
      <c r="U12" s="150">
        <f>IF(NFI_Expiration=1,IF($A12&lt;VLOOKUP(J$5,NFI,5,0),1,0)*Data_NFI_t[[#This Row],[NFI Core Kit]],0)</f>
        <v>0</v>
      </c>
      <c r="V12" s="131">
        <f>IF(NFI_Expiration=1,IF($A12&lt;VLOOKUP(K$5,NFI,5,0),1,0)*Data_NFI_t[[#This Row],[Sanitary Kit]],0)</f>
        <v>0</v>
      </c>
      <c r="W12" s="131">
        <f>IF(NFI_Expiration=1,IF($A12&lt;VLOOKUP(L$5,NFI,5,0),1,0)*Data_NFI_t[[#This Row],[Mosquito net]],0)</f>
        <v>2</v>
      </c>
      <c r="X12" s="131">
        <f>IF(NFI_Expiration=1,IF($A12&lt;VLOOKUP(M$5,NFI,5,0),1,0)*Data_NFI_t[[#This Row],[Tarpaulin]],0)</f>
        <v>1</v>
      </c>
      <c r="Y12" s="131">
        <f>IF(NFI_Expiration=1,IF($A12&lt;VLOOKUP(N$5,NFI,5,0),1,0)*Data_NFI_t[[#This Row],[Blanket]],0)</f>
        <v>2</v>
      </c>
      <c r="Z12" s="131">
        <f>IF(NFI_Expiration=1,IF($A12&lt;VLOOKUP(O$5,NFI,5,0),1,0)*Data_NFI_t[[#This Row],[Kitchen Set]],0)</f>
        <v>1</v>
      </c>
      <c r="AA12" s="131">
        <f>IF(NFI_Expiration=1,IF($A12&lt;VLOOKUP(P$5,NFI,5,0),1,0)*Data_NFI_t[[#This Row],[Complementary Kit]],0)</f>
        <v>0</v>
      </c>
      <c r="AB12" s="131">
        <f>IF(NFI_Expiration=1,IF($A12&lt;VLOOKUP(Q$5,NFI,5,0),1,0)*Data_NFI_t[[#This Row],[Plastic Bucket]],0)</f>
        <v>1</v>
      </c>
      <c r="AC12" s="131">
        <f>IF(NFI_Expiration=1,IF($A12&lt;VLOOKUP(R$5,NFI,5,0),1,0)*Data_NFI_t[[#This Row],[Jerry Can]],0)</f>
        <v>0</v>
      </c>
      <c r="AD12" s="150">
        <f>IF(NFI_Expiration=1,IF($A12&lt;VLOOKUP(S$5,NFI,5,0),1,0)*Data_NFI_t[[#This Row],[Plastic Mat]],0)*IF(Data_NFI_t[[#This Row],[Distribution Date]]&gt;"01-04-2014",1,2.5)</f>
        <v>12.5</v>
      </c>
      <c r="AE12" s="150" t="str">
        <f ca="1">IFERROR(OFFSET(Camp_List[P_Code],MATCH(Data_NFI_t[[#This Row],[Camp Name]],Camp_List[Camp Name],0)-1,0,1,1),"")</f>
        <v>MMR012CMP042</v>
      </c>
      <c r="AF12" s="714" t="str">
        <f ca="1">IFERROR(OFFSET(Camp_List[Status],MATCH(Data_NFI_t[[#This Row],[Camp Name]],Camp_List[Camp Name],0)-1,0,1,1),"")</f>
        <v>Open</v>
      </c>
    </row>
    <row r="13" spans="1:58" s="102" customFormat="1" ht="15" customHeight="1" x14ac:dyDescent="0.25">
      <c r="A13" s="265">
        <f t="shared" si="0"/>
        <v>2.5</v>
      </c>
      <c r="B13" s="265">
        <f>YEAR(Data_NFI_t[[#This Row],[Distribution Date]])</f>
        <v>2015</v>
      </c>
      <c r="C13" s="738">
        <v>42264</v>
      </c>
      <c r="D13" s="655" t="s">
        <v>288</v>
      </c>
      <c r="E13" s="654" t="s">
        <v>291</v>
      </c>
      <c r="F13" s="655" t="s">
        <v>7</v>
      </c>
      <c r="G13" s="31" t="s">
        <v>19</v>
      </c>
      <c r="H13" s="31" t="s">
        <v>67</v>
      </c>
      <c r="I13" s="31"/>
      <c r="J13" s="61"/>
      <c r="K13" s="61"/>
      <c r="L13" s="61">
        <v>730</v>
      </c>
      <c r="M13" s="61">
        <v>365</v>
      </c>
      <c r="N13" s="61">
        <v>730</v>
      </c>
      <c r="O13" s="61">
        <v>365</v>
      </c>
      <c r="P13" s="61"/>
      <c r="Q13" s="61">
        <v>365</v>
      </c>
      <c r="R13" s="708">
        <v>365</v>
      </c>
      <c r="S13" s="61">
        <v>1825</v>
      </c>
      <c r="T13" s="150">
        <f>IF(NFI_Expiration=1,IF($A13&lt;VLOOKUP(I$5,NFI,5,0),1,0)*Data_NFI_t[[#This Row],[Hygiene Kit]],0)</f>
        <v>0</v>
      </c>
      <c r="U13" s="150">
        <f>IF(NFI_Expiration=1,IF($A13&lt;VLOOKUP(J$5,NFI,5,0),1,0)*Data_NFI_t[[#This Row],[NFI Core Kit]],0)</f>
        <v>0</v>
      </c>
      <c r="V13" s="131">
        <f>IF(NFI_Expiration=1,IF($A13&lt;VLOOKUP(K$5,NFI,5,0),1,0)*Data_NFI_t[[#This Row],[Sanitary Kit]],0)</f>
        <v>0</v>
      </c>
      <c r="W13" s="131">
        <f>IF(NFI_Expiration=1,IF($A13&lt;VLOOKUP(L$5,NFI,5,0),1,0)*Data_NFI_t[[#This Row],[Mosquito net]],0)</f>
        <v>730</v>
      </c>
      <c r="X13" s="131">
        <f>IF(NFI_Expiration=1,IF($A13&lt;VLOOKUP(M$5,NFI,5,0),1,0)*Data_NFI_t[[#This Row],[Tarpaulin]],0)</f>
        <v>365</v>
      </c>
      <c r="Y13" s="131">
        <f>IF(NFI_Expiration=1,IF($A13&lt;VLOOKUP(N$5,NFI,5,0),1,0)*Data_NFI_t[[#This Row],[Blanket]],0)</f>
        <v>730</v>
      </c>
      <c r="Z13" s="131">
        <f>IF(NFI_Expiration=1,IF($A13&lt;VLOOKUP(O$5,NFI,5,0),1,0)*Data_NFI_t[[#This Row],[Kitchen Set]],0)</f>
        <v>365</v>
      </c>
      <c r="AA13" s="131">
        <f>IF(NFI_Expiration=1,IF($A13&lt;VLOOKUP(P$5,NFI,5,0),1,0)*Data_NFI_t[[#This Row],[Complementary Kit]],0)</f>
        <v>0</v>
      </c>
      <c r="AB13" s="131">
        <f>IF(NFI_Expiration=1,IF($A13&lt;VLOOKUP(Q$5,NFI,5,0),1,0)*Data_NFI_t[[#This Row],[Plastic Bucket]],0)</f>
        <v>365</v>
      </c>
      <c r="AC13" s="131">
        <f>IF(NFI_Expiration=1,IF($A13&lt;VLOOKUP(R$5,NFI,5,0),1,0)*Data_NFI_t[[#This Row],[Jerry Can]],0)</f>
        <v>365</v>
      </c>
      <c r="AD13" s="150">
        <f>IF(NFI_Expiration=1,IF($A13&lt;VLOOKUP(S$5,NFI,5,0),1,0)*Data_NFI_t[[#This Row],[Plastic Mat]],0)*IF(Data_NFI_t[[#This Row],[Distribution Date]]&gt;"01-04-2014",1,2.5)</f>
        <v>4562.5</v>
      </c>
      <c r="AE13" s="150" t="str">
        <f ca="1">IFERROR(OFFSET(Camp_List[P_Code],MATCH(Data_NFI_t[[#This Row],[Camp Name]],Camp_List[Camp Name],0)-1,0,1,1),"")</f>
        <v>MMR012CMP045</v>
      </c>
      <c r="AF13" s="714" t="str">
        <f ca="1">IFERROR(OFFSET(Camp_List[Status],MATCH(Data_NFI_t[[#This Row],[Camp Name]],Camp_List[Camp Name],0)-1,0,1,1),"")</f>
        <v>Open</v>
      </c>
    </row>
    <row r="14" spans="1:58" s="102" customFormat="1" ht="15" customHeight="1" x14ac:dyDescent="0.25">
      <c r="A14" s="265">
        <f t="shared" si="0"/>
        <v>3.7</v>
      </c>
      <c r="B14" s="265">
        <f>YEAR(Data_NFI_t[[#This Row],[Distribution Date]])</f>
        <v>2015</v>
      </c>
      <c r="C14" s="738">
        <v>42228</v>
      </c>
      <c r="D14" s="655" t="s">
        <v>288</v>
      </c>
      <c r="E14" s="654" t="s">
        <v>291</v>
      </c>
      <c r="F14" s="655" t="s">
        <v>7</v>
      </c>
      <c r="G14" s="31" t="s">
        <v>19</v>
      </c>
      <c r="H14" s="31" t="s">
        <v>67</v>
      </c>
      <c r="I14" s="31"/>
      <c r="J14" s="61">
        <v>273</v>
      </c>
      <c r="K14" s="61"/>
      <c r="L14" s="61">
        <v>546</v>
      </c>
      <c r="M14" s="61">
        <v>273</v>
      </c>
      <c r="N14" s="61">
        <v>546</v>
      </c>
      <c r="O14" s="61">
        <v>273</v>
      </c>
      <c r="P14" s="61"/>
      <c r="Q14" s="61">
        <v>273</v>
      </c>
      <c r="R14" s="708">
        <v>273</v>
      </c>
      <c r="S14" s="61">
        <v>1365</v>
      </c>
      <c r="T14" s="150">
        <f>IF(NFI_Expiration=1,IF($A14&lt;VLOOKUP(I$5,NFI,5,0),1,0)*Data_NFI_t[[#This Row],[Hygiene Kit]],0)</f>
        <v>0</v>
      </c>
      <c r="U14" s="150">
        <f>IF(NFI_Expiration=1,IF($A14&lt;VLOOKUP(J$5,NFI,5,0),1,0)*Data_NFI_t[[#This Row],[NFI Core Kit]],0)</f>
        <v>273</v>
      </c>
      <c r="V14" s="131">
        <f>IF(NFI_Expiration=1,IF($A14&lt;VLOOKUP(K$5,NFI,5,0),1,0)*Data_NFI_t[[#This Row],[Sanitary Kit]],0)</f>
        <v>0</v>
      </c>
      <c r="W14" s="131">
        <f>IF(NFI_Expiration=1,IF($A14&lt;VLOOKUP(L$5,NFI,5,0),1,0)*Data_NFI_t[[#This Row],[Mosquito net]],0)</f>
        <v>546</v>
      </c>
      <c r="X14" s="131">
        <f>IF(NFI_Expiration=1,IF($A14&lt;VLOOKUP(M$5,NFI,5,0),1,0)*Data_NFI_t[[#This Row],[Tarpaulin]],0)</f>
        <v>273</v>
      </c>
      <c r="Y14" s="131">
        <f>IF(NFI_Expiration=1,IF($A14&lt;VLOOKUP(N$5,NFI,5,0),1,0)*Data_NFI_t[[#This Row],[Blanket]],0)</f>
        <v>546</v>
      </c>
      <c r="Z14" s="131">
        <f>IF(NFI_Expiration=1,IF($A14&lt;VLOOKUP(O$5,NFI,5,0),1,0)*Data_NFI_t[[#This Row],[Kitchen Set]],0)</f>
        <v>273</v>
      </c>
      <c r="AA14" s="131">
        <f>IF(NFI_Expiration=1,IF($A14&lt;VLOOKUP(P$5,NFI,5,0),1,0)*Data_NFI_t[[#This Row],[Complementary Kit]],0)</f>
        <v>0</v>
      </c>
      <c r="AB14" s="131">
        <f>IF(NFI_Expiration=1,IF($A14&lt;VLOOKUP(Q$5,NFI,5,0),1,0)*Data_NFI_t[[#This Row],[Plastic Bucket]],0)</f>
        <v>273</v>
      </c>
      <c r="AC14" s="131">
        <f>IF(NFI_Expiration=1,IF($A14&lt;VLOOKUP(R$5,NFI,5,0),1,0)*Data_NFI_t[[#This Row],[Jerry Can]],0)</f>
        <v>273</v>
      </c>
      <c r="AD14" s="150">
        <f>IF(NFI_Expiration=1,IF($A14&lt;VLOOKUP(S$5,NFI,5,0),1,0)*Data_NFI_t[[#This Row],[Plastic Mat]],0)*IF(Data_NFI_t[[#This Row],[Distribution Date]]&gt;"01-04-2014",1,2.5)</f>
        <v>3412.5</v>
      </c>
      <c r="AE14" s="150" t="str">
        <f ca="1">IFERROR(OFFSET(Camp_List[P_Code],MATCH(Data_NFI_t[[#This Row],[Camp Name]],Camp_List[Camp Name],0)-1,0,1,1),"")</f>
        <v>MMR012CMP045</v>
      </c>
      <c r="AF14" s="714" t="str">
        <f ca="1">IFERROR(OFFSET(Camp_List[Status],MATCH(Data_NFI_t[[#This Row],[Camp Name]],Camp_List[Camp Name],0)-1,0,1,1),"")</f>
        <v>Open</v>
      </c>
    </row>
    <row r="15" spans="1:58" s="102" customFormat="1" ht="15" customHeight="1" x14ac:dyDescent="0.25">
      <c r="A15" s="265">
        <f t="shared" si="0"/>
        <v>3.7</v>
      </c>
      <c r="B15" s="265">
        <f>YEAR(Data_NFI_t[[#This Row],[Distribution Date]])</f>
        <v>2015</v>
      </c>
      <c r="C15" s="738">
        <v>42228</v>
      </c>
      <c r="D15" s="655" t="s">
        <v>288</v>
      </c>
      <c r="E15" s="654" t="s">
        <v>643</v>
      </c>
      <c r="F15" s="655" t="s">
        <v>7</v>
      </c>
      <c r="G15" s="31" t="s">
        <v>19</v>
      </c>
      <c r="H15" s="31" t="s">
        <v>61</v>
      </c>
      <c r="I15" s="31"/>
      <c r="J15" s="61">
        <v>59</v>
      </c>
      <c r="K15" s="61"/>
      <c r="L15" s="61">
        <v>6</v>
      </c>
      <c r="M15" s="61">
        <v>3</v>
      </c>
      <c r="N15" s="61">
        <v>6</v>
      </c>
      <c r="O15" s="61">
        <v>3</v>
      </c>
      <c r="P15" s="61"/>
      <c r="Q15" s="61">
        <v>3</v>
      </c>
      <c r="R15" s="708">
        <v>3</v>
      </c>
      <c r="S15" s="61">
        <v>15</v>
      </c>
      <c r="T15" s="150">
        <f>IF(NFI_Expiration=1,IF($A15&lt;VLOOKUP(I$5,NFI,5,0),1,0)*Data_NFI_t[[#This Row],[Hygiene Kit]],0)</f>
        <v>0</v>
      </c>
      <c r="U15" s="150">
        <f>IF(NFI_Expiration=1,IF($A15&lt;VLOOKUP(J$5,NFI,5,0),1,0)*Data_NFI_t[[#This Row],[NFI Core Kit]],0)</f>
        <v>59</v>
      </c>
      <c r="V15" s="131">
        <f>IF(NFI_Expiration=1,IF($A15&lt;VLOOKUP(K$5,NFI,5,0),1,0)*Data_NFI_t[[#This Row],[Sanitary Kit]],0)</f>
        <v>0</v>
      </c>
      <c r="W15" s="131">
        <f>IF(NFI_Expiration=1,IF($A15&lt;VLOOKUP(L$5,NFI,5,0),1,0)*Data_NFI_t[[#This Row],[Mosquito net]],0)</f>
        <v>6</v>
      </c>
      <c r="X15" s="131">
        <f>IF(NFI_Expiration=1,IF($A15&lt;VLOOKUP(M$5,NFI,5,0),1,0)*Data_NFI_t[[#This Row],[Tarpaulin]],0)</f>
        <v>3</v>
      </c>
      <c r="Y15" s="131">
        <f>IF(NFI_Expiration=1,IF($A15&lt;VLOOKUP(N$5,NFI,5,0),1,0)*Data_NFI_t[[#This Row],[Blanket]],0)</f>
        <v>6</v>
      </c>
      <c r="Z15" s="131">
        <f>IF(NFI_Expiration=1,IF($A15&lt;VLOOKUP(O$5,NFI,5,0),1,0)*Data_NFI_t[[#This Row],[Kitchen Set]],0)</f>
        <v>3</v>
      </c>
      <c r="AA15" s="131">
        <f>IF(NFI_Expiration=1,IF($A15&lt;VLOOKUP(P$5,NFI,5,0),1,0)*Data_NFI_t[[#This Row],[Complementary Kit]],0)</f>
        <v>0</v>
      </c>
      <c r="AB15" s="131">
        <f>IF(NFI_Expiration=1,IF($A15&lt;VLOOKUP(Q$5,NFI,5,0),1,0)*Data_NFI_t[[#This Row],[Plastic Bucket]],0)</f>
        <v>3</v>
      </c>
      <c r="AC15" s="131">
        <f>IF(NFI_Expiration=1,IF($A15&lt;VLOOKUP(R$5,NFI,5,0),1,0)*Data_NFI_t[[#This Row],[Jerry Can]],0)</f>
        <v>3</v>
      </c>
      <c r="AD15" s="150">
        <f>IF(NFI_Expiration=1,IF($A15&lt;VLOOKUP(S$5,NFI,5,0),1,0)*Data_NFI_t[[#This Row],[Plastic Mat]],0)*IF(Data_NFI_t[[#This Row],[Distribution Date]]&gt;"01-04-2014",1,2.5)</f>
        <v>37.5</v>
      </c>
      <c r="AE15" s="150" t="str">
        <f ca="1">IFERROR(OFFSET(Camp_List[P_Code],MATCH(Data_NFI_t[[#This Row],[Camp Name]],Camp_List[Camp Name],0)-1,0,1,1),"")</f>
        <v>MMR012CMP039</v>
      </c>
      <c r="AF15" s="714" t="str">
        <f ca="1">IFERROR(OFFSET(Camp_List[Status],MATCH(Data_NFI_t[[#This Row],[Camp Name]],Camp_List[Camp Name],0)-1,0,1,1),"")</f>
        <v>Open</v>
      </c>
    </row>
    <row r="16" spans="1:58" s="102" customFormat="1" ht="15" customHeight="1" x14ac:dyDescent="0.25">
      <c r="A16" s="265">
        <f t="shared" si="0"/>
        <v>3.7</v>
      </c>
      <c r="B16" s="265">
        <f>YEAR(Data_NFI_t[[#This Row],[Distribution Date]])</f>
        <v>2015</v>
      </c>
      <c r="C16" s="738">
        <v>42228</v>
      </c>
      <c r="D16" s="655" t="s">
        <v>288</v>
      </c>
      <c r="E16" s="654" t="s">
        <v>643</v>
      </c>
      <c r="F16" s="655" t="s">
        <v>7</v>
      </c>
      <c r="G16" s="31" t="s">
        <v>19</v>
      </c>
      <c r="H16" s="31" t="s">
        <v>64</v>
      </c>
      <c r="I16" s="31"/>
      <c r="J16" s="61">
        <v>160</v>
      </c>
      <c r="K16" s="61"/>
      <c r="L16" s="61">
        <v>96</v>
      </c>
      <c r="M16" s="61">
        <v>48</v>
      </c>
      <c r="N16" s="61">
        <v>96</v>
      </c>
      <c r="O16" s="61">
        <v>48</v>
      </c>
      <c r="P16" s="61"/>
      <c r="Q16" s="61">
        <v>48</v>
      </c>
      <c r="R16" s="708">
        <v>48</v>
      </c>
      <c r="S16" s="61">
        <v>240</v>
      </c>
      <c r="T16" s="150">
        <f>IF(NFI_Expiration=1,IF($A16&lt;VLOOKUP(I$5,NFI,5,0),1,0)*Data_NFI_t[[#This Row],[Hygiene Kit]],0)</f>
        <v>0</v>
      </c>
      <c r="U16" s="150">
        <f>IF(NFI_Expiration=1,IF($A16&lt;VLOOKUP(J$5,NFI,5,0),1,0)*Data_NFI_t[[#This Row],[NFI Core Kit]],0)</f>
        <v>160</v>
      </c>
      <c r="V16" s="131">
        <f>IF(NFI_Expiration=1,IF($A16&lt;VLOOKUP(K$5,NFI,5,0),1,0)*Data_NFI_t[[#This Row],[Sanitary Kit]],0)</f>
        <v>0</v>
      </c>
      <c r="W16" s="131">
        <f>IF(NFI_Expiration=1,IF($A16&lt;VLOOKUP(L$5,NFI,5,0),1,0)*Data_NFI_t[[#This Row],[Mosquito net]],0)</f>
        <v>96</v>
      </c>
      <c r="X16" s="131">
        <f>IF(NFI_Expiration=1,IF($A16&lt;VLOOKUP(M$5,NFI,5,0),1,0)*Data_NFI_t[[#This Row],[Tarpaulin]],0)</f>
        <v>48</v>
      </c>
      <c r="Y16" s="131">
        <f>IF(NFI_Expiration=1,IF($A16&lt;VLOOKUP(N$5,NFI,5,0),1,0)*Data_NFI_t[[#This Row],[Blanket]],0)</f>
        <v>96</v>
      </c>
      <c r="Z16" s="131">
        <f>IF(NFI_Expiration=1,IF($A16&lt;VLOOKUP(O$5,NFI,5,0),1,0)*Data_NFI_t[[#This Row],[Kitchen Set]],0)</f>
        <v>48</v>
      </c>
      <c r="AA16" s="131">
        <f>IF(NFI_Expiration=1,IF($A16&lt;VLOOKUP(P$5,NFI,5,0),1,0)*Data_NFI_t[[#This Row],[Complementary Kit]],0)</f>
        <v>0</v>
      </c>
      <c r="AB16" s="131">
        <f>IF(NFI_Expiration=1,IF($A16&lt;VLOOKUP(Q$5,NFI,5,0),1,0)*Data_NFI_t[[#This Row],[Plastic Bucket]],0)</f>
        <v>48</v>
      </c>
      <c r="AC16" s="131">
        <f>IF(NFI_Expiration=1,IF($A16&lt;VLOOKUP(R$5,NFI,5,0),1,0)*Data_NFI_t[[#This Row],[Jerry Can]],0)</f>
        <v>48</v>
      </c>
      <c r="AD16" s="150">
        <f>IF(NFI_Expiration=1,IF($A16&lt;VLOOKUP(S$5,NFI,5,0),1,0)*Data_NFI_t[[#This Row],[Plastic Mat]],0)*IF(Data_NFI_t[[#This Row],[Distribution Date]]&gt;"01-04-2014",1,2.5)</f>
        <v>600</v>
      </c>
      <c r="AE16" s="150" t="str">
        <f ca="1">IFERROR(OFFSET(Camp_List[P_Code],MATCH(Data_NFI_t[[#This Row],[Camp Name]],Camp_List[Camp Name],0)-1,0,1,1),"")</f>
        <v>MMR012CMP042</v>
      </c>
      <c r="AF16" s="714" t="str">
        <f ca="1">IFERROR(OFFSET(Camp_List[Status],MATCH(Data_NFI_t[[#This Row],[Camp Name]],Camp_List[Camp Name],0)-1,0,1,1),"")</f>
        <v>Open</v>
      </c>
    </row>
    <row r="17" spans="1:32" s="102" customFormat="1" ht="15" customHeight="1" x14ac:dyDescent="0.25">
      <c r="A17" s="265">
        <f t="shared" si="0"/>
        <v>3.8333333333333335</v>
      </c>
      <c r="B17" s="265">
        <f>YEAR(Data_NFI_t[[#This Row],[Distribution Date]])</f>
        <v>2015</v>
      </c>
      <c r="C17" s="738">
        <v>42224</v>
      </c>
      <c r="D17" s="655" t="s">
        <v>288</v>
      </c>
      <c r="E17" s="654" t="s">
        <v>526</v>
      </c>
      <c r="F17" s="655" t="s">
        <v>7</v>
      </c>
      <c r="G17" s="31" t="s">
        <v>14</v>
      </c>
      <c r="H17" s="31" t="s">
        <v>42</v>
      </c>
      <c r="I17" s="31"/>
      <c r="J17" s="61"/>
      <c r="K17" s="61"/>
      <c r="L17" s="61">
        <v>62</v>
      </c>
      <c r="M17" s="61">
        <v>31</v>
      </c>
      <c r="N17" s="61">
        <v>62</v>
      </c>
      <c r="O17" s="61">
        <v>31</v>
      </c>
      <c r="P17" s="61"/>
      <c r="Q17" s="61">
        <v>31</v>
      </c>
      <c r="R17" s="708">
        <v>31</v>
      </c>
      <c r="S17" s="61">
        <v>155</v>
      </c>
      <c r="T17" s="150">
        <f>IF(NFI_Expiration=1,IF($A17&lt;VLOOKUP(I$5,NFI,5,0),1,0)*Data_NFI_t[[#This Row],[Hygiene Kit]],0)</f>
        <v>0</v>
      </c>
      <c r="U17" s="150">
        <f>IF(NFI_Expiration=1,IF($A17&lt;VLOOKUP(J$5,NFI,5,0),1,0)*Data_NFI_t[[#This Row],[NFI Core Kit]],0)</f>
        <v>0</v>
      </c>
      <c r="V17" s="131">
        <f>IF(NFI_Expiration=1,IF($A17&lt;VLOOKUP(K$5,NFI,5,0),1,0)*Data_NFI_t[[#This Row],[Sanitary Kit]],0)</f>
        <v>0</v>
      </c>
      <c r="W17" s="131">
        <f>IF(NFI_Expiration=1,IF($A17&lt;VLOOKUP(L$5,NFI,5,0),1,0)*Data_NFI_t[[#This Row],[Mosquito net]],0)</f>
        <v>62</v>
      </c>
      <c r="X17" s="131">
        <f>IF(NFI_Expiration=1,IF($A17&lt;VLOOKUP(M$5,NFI,5,0),1,0)*Data_NFI_t[[#This Row],[Tarpaulin]],0)</f>
        <v>31</v>
      </c>
      <c r="Y17" s="131">
        <f>IF(NFI_Expiration=1,IF($A17&lt;VLOOKUP(N$5,NFI,5,0),1,0)*Data_NFI_t[[#This Row],[Blanket]],0)</f>
        <v>62</v>
      </c>
      <c r="Z17" s="131">
        <f>IF(NFI_Expiration=1,IF($A17&lt;VLOOKUP(O$5,NFI,5,0),1,0)*Data_NFI_t[[#This Row],[Kitchen Set]],0)</f>
        <v>31</v>
      </c>
      <c r="AA17" s="131">
        <f>IF(NFI_Expiration=1,IF($A17&lt;VLOOKUP(P$5,NFI,5,0),1,0)*Data_NFI_t[[#This Row],[Complementary Kit]],0)</f>
        <v>0</v>
      </c>
      <c r="AB17" s="131">
        <f>IF(NFI_Expiration=1,IF($A17&lt;VLOOKUP(Q$5,NFI,5,0),1,0)*Data_NFI_t[[#This Row],[Plastic Bucket]],0)</f>
        <v>31</v>
      </c>
      <c r="AC17" s="131">
        <f>IF(NFI_Expiration=1,IF($A17&lt;VLOOKUP(R$5,NFI,5,0),1,0)*Data_NFI_t[[#This Row],[Jerry Can]],0)</f>
        <v>31</v>
      </c>
      <c r="AD17" s="150">
        <f>IF(NFI_Expiration=1,IF($A17&lt;VLOOKUP(S$5,NFI,5,0),1,0)*Data_NFI_t[[#This Row],[Plastic Mat]],0)*IF(Data_NFI_t[[#This Row],[Distribution Date]]&gt;"01-04-2014",1,2.5)</f>
        <v>387.5</v>
      </c>
      <c r="AE17" s="150" t="str">
        <f ca="1">IFERROR(OFFSET(Camp_List[P_Code],MATCH(Data_NFI_t[[#This Row],[Camp Name]],Camp_List[Camp Name],0)-1,0,1,1),"")</f>
        <v>MMR012CMP018</v>
      </c>
      <c r="AF17" s="714" t="str">
        <f ca="1">IFERROR(OFFSET(Camp_List[Status],MATCH(Data_NFI_t[[#This Row],[Camp Name]],Camp_List[Camp Name],0)-1,0,1,1),"")</f>
        <v>Open</v>
      </c>
    </row>
    <row r="18" spans="1:32" s="102" customFormat="1" ht="15" customHeight="1" x14ac:dyDescent="0.25">
      <c r="A18" s="265">
        <f t="shared" si="0"/>
        <v>10.966666666666667</v>
      </c>
      <c r="B18" s="265">
        <v>2015</v>
      </c>
      <c r="C18" s="738">
        <v>42010</v>
      </c>
      <c r="D18" s="655" t="s">
        <v>288</v>
      </c>
      <c r="E18" s="654" t="s">
        <v>288</v>
      </c>
      <c r="F18" s="655" t="s">
        <v>7</v>
      </c>
      <c r="G18" s="31" t="s">
        <v>20</v>
      </c>
      <c r="H18" s="31" t="s">
        <v>107</v>
      </c>
      <c r="I18" s="31">
        <v>36</v>
      </c>
      <c r="J18" s="61">
        <v>36</v>
      </c>
      <c r="K18" s="61">
        <v>36</v>
      </c>
      <c r="L18" s="61">
        <v>72</v>
      </c>
      <c r="M18" s="61">
        <v>0</v>
      </c>
      <c r="N18" s="61">
        <v>72</v>
      </c>
      <c r="O18" s="61">
        <v>19</v>
      </c>
      <c r="P18" s="61">
        <v>0</v>
      </c>
      <c r="Q18" s="61">
        <v>36</v>
      </c>
      <c r="R18" s="708">
        <v>36</v>
      </c>
      <c r="S18" s="61">
        <v>95</v>
      </c>
      <c r="T18" s="150">
        <f>IF(NFI_Expiration=1,IF($A18&lt;VLOOKUP(I$5,NFI,5,0),1,0)*Data_NFI_t[[#This Row],[Hygiene Kit]],0)</f>
        <v>36</v>
      </c>
      <c r="U18" s="150">
        <f>IF(NFI_Expiration=1,IF($A18&lt;VLOOKUP(J$5,NFI,5,0),1,0)*Data_NFI_t[[#This Row],[NFI Core Kit]],0)</f>
        <v>36</v>
      </c>
      <c r="V18" s="131">
        <f>IF(NFI_Expiration=1,IF($A18&lt;VLOOKUP(K$5,NFI,5,0),1,0)*Data_NFI_t[[#This Row],[Sanitary Kit]],0)</f>
        <v>36</v>
      </c>
      <c r="W18" s="131">
        <f>IF(NFI_Expiration=1,IF($A18&lt;VLOOKUP(L$5,NFI,5,0),1,0)*Data_NFI_t[[#This Row],[Mosquito net]],0)</f>
        <v>72</v>
      </c>
      <c r="X18" s="131">
        <f>IF(NFI_Expiration=1,IF($A18&lt;VLOOKUP(M$5,NFI,5,0),1,0)*Data_NFI_t[[#This Row],[Tarpaulin]],0)</f>
        <v>0</v>
      </c>
      <c r="Y18" s="131">
        <f>IF(NFI_Expiration=1,IF($A18&lt;VLOOKUP(N$5,NFI,5,0),1,0)*Data_NFI_t[[#This Row],[Blanket]],0)</f>
        <v>72</v>
      </c>
      <c r="Z18" s="131">
        <f>IF(NFI_Expiration=1,IF($A18&lt;VLOOKUP(O$5,NFI,5,0),1,0)*Data_NFI_t[[#This Row],[Kitchen Set]],0)</f>
        <v>19</v>
      </c>
      <c r="AA18" s="131">
        <f>IF(NFI_Expiration=1,IF($A18&lt;VLOOKUP(P$5,NFI,5,0),1,0)*Data_NFI_t[[#This Row],[Complementary Kit]],0)</f>
        <v>0</v>
      </c>
      <c r="AB18" s="131">
        <f>IF(NFI_Expiration=1,IF($A18&lt;VLOOKUP(Q$5,NFI,5,0),1,0)*Data_NFI_t[[#This Row],[Plastic Bucket]],0)</f>
        <v>36</v>
      </c>
      <c r="AC18" s="131">
        <f>IF(NFI_Expiration=1,IF($A18&lt;VLOOKUP(R$5,NFI,5,0),1,0)*Data_NFI_t[[#This Row],[Jerry Can]],0)</f>
        <v>36</v>
      </c>
      <c r="AD18" s="150">
        <f>IF(NFI_Expiration=1,IF($A18&lt;VLOOKUP(S$5,NFI,5,0),1,0)*Data_NFI_t[[#This Row],[Plastic Mat]],0)*IF(Data_NFI_t[[#This Row],[Distribution Date]]&gt;"01-04-2014",1,2.5)</f>
        <v>237.5</v>
      </c>
      <c r="AE18" s="150" t="str">
        <f ca="1">IFERROR(OFFSET(Camp_List[P_Code],MATCH(Data_NFI_t[[#This Row],[Camp Name]],Camp_List[Camp Name],0)-1,0,1,1),"")</f>
        <v>MMR012CMP085</v>
      </c>
      <c r="AF18" s="714" t="str">
        <f ca="1">IFERROR(OFFSET(Camp_List[Status],MATCH(Data_NFI_t[[#This Row],[Camp Name]],Camp_List[Camp Name],0)-1,0,1,1),"")</f>
        <v>Open</v>
      </c>
    </row>
    <row r="19" spans="1:32" s="102" customFormat="1" ht="15" customHeight="1" x14ac:dyDescent="0.25">
      <c r="A19" s="265">
        <f t="shared" si="0"/>
        <v>4.333333333333333</v>
      </c>
      <c r="B19" s="265">
        <f>YEAR(Data_NFI_t[[#This Row],[Distribution Date]])</f>
        <v>2015</v>
      </c>
      <c r="C19" s="738">
        <v>42209</v>
      </c>
      <c r="D19" s="655" t="s">
        <v>288</v>
      </c>
      <c r="E19" s="654" t="s">
        <v>526</v>
      </c>
      <c r="F19" s="655" t="s">
        <v>7</v>
      </c>
      <c r="G19" s="31" t="s">
        <v>19</v>
      </c>
      <c r="H19" s="31" t="s">
        <v>70</v>
      </c>
      <c r="I19" s="31"/>
      <c r="J19" s="61">
        <v>984</v>
      </c>
      <c r="K19" s="61"/>
      <c r="L19" s="61">
        <v>1968</v>
      </c>
      <c r="M19" s="61">
        <v>984</v>
      </c>
      <c r="N19" s="61">
        <v>1968</v>
      </c>
      <c r="O19" s="61">
        <v>984</v>
      </c>
      <c r="P19" s="61"/>
      <c r="Q19" s="61">
        <v>984</v>
      </c>
      <c r="R19" s="708">
        <v>984</v>
      </c>
      <c r="S19" s="61">
        <v>4920</v>
      </c>
      <c r="T19" s="150">
        <f>IF(NFI_Expiration=1,IF($A19&lt;VLOOKUP(I$5,NFI,5,0),1,0)*Data_NFI_t[[#This Row],[Hygiene Kit]],0)</f>
        <v>0</v>
      </c>
      <c r="U19" s="150">
        <f>IF(NFI_Expiration=1,IF($A19&lt;VLOOKUP(J$5,NFI,5,0),1,0)*Data_NFI_t[[#This Row],[NFI Core Kit]],0)</f>
        <v>984</v>
      </c>
      <c r="V19" s="131">
        <f>IF(NFI_Expiration=1,IF($A19&lt;VLOOKUP(K$5,NFI,5,0),1,0)*Data_NFI_t[[#This Row],[Sanitary Kit]],0)</f>
        <v>0</v>
      </c>
      <c r="W19" s="131">
        <f>IF(NFI_Expiration=1,IF($A19&lt;VLOOKUP(L$5,NFI,5,0),1,0)*Data_NFI_t[[#This Row],[Mosquito net]],0)</f>
        <v>1968</v>
      </c>
      <c r="X19" s="131">
        <f>IF(NFI_Expiration=1,IF($A19&lt;VLOOKUP(M$5,NFI,5,0),1,0)*Data_NFI_t[[#This Row],[Tarpaulin]],0)</f>
        <v>984</v>
      </c>
      <c r="Y19" s="131">
        <f>IF(NFI_Expiration=1,IF($A19&lt;VLOOKUP(N$5,NFI,5,0),1,0)*Data_NFI_t[[#This Row],[Blanket]],0)</f>
        <v>1968</v>
      </c>
      <c r="Z19" s="131">
        <f>IF(NFI_Expiration=1,IF($A19&lt;VLOOKUP(O$5,NFI,5,0),1,0)*Data_NFI_t[[#This Row],[Kitchen Set]],0)</f>
        <v>984</v>
      </c>
      <c r="AA19" s="131">
        <f>IF(NFI_Expiration=1,IF($A19&lt;VLOOKUP(P$5,NFI,5,0),1,0)*Data_NFI_t[[#This Row],[Complementary Kit]],0)</f>
        <v>0</v>
      </c>
      <c r="AB19" s="131">
        <f>IF(NFI_Expiration=1,IF($A19&lt;VLOOKUP(Q$5,NFI,5,0),1,0)*Data_NFI_t[[#This Row],[Plastic Bucket]],0)</f>
        <v>984</v>
      </c>
      <c r="AC19" s="131">
        <f>IF(NFI_Expiration=1,IF($A19&lt;VLOOKUP(R$5,NFI,5,0),1,0)*Data_NFI_t[[#This Row],[Jerry Can]],0)</f>
        <v>984</v>
      </c>
      <c r="AD19" s="150">
        <f>IF(NFI_Expiration=1,IF($A19&lt;VLOOKUP(S$5,NFI,5,0),1,0)*Data_NFI_t[[#This Row],[Plastic Mat]],0)*IF(Data_NFI_t[[#This Row],[Distribution Date]]&gt;"01-04-2014",1,2.5)</f>
        <v>12300</v>
      </c>
      <c r="AE19" s="150" t="str">
        <f ca="1">IFERROR(OFFSET(Camp_List[P_Code],MATCH(Data_NFI_t[[#This Row],[Camp Name]],Camp_List[Camp Name],0)-1,0,1,1),"")</f>
        <v>MMR012CMP048</v>
      </c>
      <c r="AF19" s="714" t="str">
        <f ca="1">IFERROR(OFFSET(Camp_List[Status],MATCH(Data_NFI_t[[#This Row],[Camp Name]],Camp_List[Camp Name],0)-1,0,1,1),"")</f>
        <v>Open</v>
      </c>
    </row>
    <row r="20" spans="1:32" s="102" customFormat="1" ht="15" customHeight="1" x14ac:dyDescent="0.25">
      <c r="A20" s="265">
        <f t="shared" si="0"/>
        <v>10.966666666666667</v>
      </c>
      <c r="B20" s="265">
        <v>2015</v>
      </c>
      <c r="C20" s="738">
        <v>42010</v>
      </c>
      <c r="D20" s="655" t="s">
        <v>288</v>
      </c>
      <c r="E20" s="654" t="s">
        <v>288</v>
      </c>
      <c r="F20" s="655" t="s">
        <v>7</v>
      </c>
      <c r="G20" s="31" t="s">
        <v>20</v>
      </c>
      <c r="H20" s="31" t="s">
        <v>989</v>
      </c>
      <c r="I20" s="31">
        <v>39</v>
      </c>
      <c r="J20" s="61">
        <v>39</v>
      </c>
      <c r="K20" s="61">
        <v>39</v>
      </c>
      <c r="L20" s="61">
        <v>78</v>
      </c>
      <c r="M20" s="61">
        <v>0</v>
      </c>
      <c r="N20" s="61">
        <v>78</v>
      </c>
      <c r="O20" s="61">
        <v>28</v>
      </c>
      <c r="P20" s="61">
        <v>0</v>
      </c>
      <c r="Q20" s="61">
        <v>39</v>
      </c>
      <c r="R20" s="708">
        <v>39</v>
      </c>
      <c r="S20" s="61">
        <v>40</v>
      </c>
      <c r="T20" s="150">
        <f>IF(NFI_Expiration=1,IF($A20&lt;VLOOKUP(I$5,NFI,5,0),1,0)*Data_NFI_t[[#This Row],[Hygiene Kit]],0)</f>
        <v>39</v>
      </c>
      <c r="U20" s="150">
        <f>IF(NFI_Expiration=1,IF($A20&lt;VLOOKUP(J$5,NFI,5,0),1,0)*Data_NFI_t[[#This Row],[NFI Core Kit]],0)</f>
        <v>39</v>
      </c>
      <c r="V20" s="131">
        <f>IF(NFI_Expiration=1,IF($A20&lt;VLOOKUP(K$5,NFI,5,0),1,0)*Data_NFI_t[[#This Row],[Sanitary Kit]],0)</f>
        <v>39</v>
      </c>
      <c r="W20" s="131">
        <f>IF(NFI_Expiration=1,IF($A20&lt;VLOOKUP(L$5,NFI,5,0),1,0)*Data_NFI_t[[#This Row],[Mosquito net]],0)</f>
        <v>78</v>
      </c>
      <c r="X20" s="131">
        <f>IF(NFI_Expiration=1,IF($A20&lt;VLOOKUP(M$5,NFI,5,0),1,0)*Data_NFI_t[[#This Row],[Tarpaulin]],0)</f>
        <v>0</v>
      </c>
      <c r="Y20" s="131">
        <f>IF(NFI_Expiration=1,IF($A20&lt;VLOOKUP(N$5,NFI,5,0),1,0)*Data_NFI_t[[#This Row],[Blanket]],0)</f>
        <v>78</v>
      </c>
      <c r="Z20" s="131">
        <f>IF(NFI_Expiration=1,IF($A20&lt;VLOOKUP(O$5,NFI,5,0),1,0)*Data_NFI_t[[#This Row],[Kitchen Set]],0)</f>
        <v>28</v>
      </c>
      <c r="AA20" s="131">
        <f>IF(NFI_Expiration=1,IF($A20&lt;VLOOKUP(P$5,NFI,5,0),1,0)*Data_NFI_t[[#This Row],[Complementary Kit]],0)</f>
        <v>0</v>
      </c>
      <c r="AB20" s="131">
        <f>IF(NFI_Expiration=1,IF($A20&lt;VLOOKUP(Q$5,NFI,5,0),1,0)*Data_NFI_t[[#This Row],[Plastic Bucket]],0)</f>
        <v>39</v>
      </c>
      <c r="AC20" s="131">
        <f>IF(NFI_Expiration=1,IF($A20&lt;VLOOKUP(R$5,NFI,5,0),1,0)*Data_NFI_t[[#This Row],[Jerry Can]],0)</f>
        <v>39</v>
      </c>
      <c r="AD20" s="150">
        <f>IF(NFI_Expiration=1,IF($A20&lt;VLOOKUP(S$5,NFI,5,0),1,0)*Data_NFI_t[[#This Row],[Plastic Mat]],0)*IF(Data_NFI_t[[#This Row],[Distribution Date]]&gt;"01-04-2014",1,2.5)</f>
        <v>100</v>
      </c>
      <c r="AE20" s="150" t="str">
        <f ca="1">IFERROR(OFFSET(Camp_List[P_Code],MATCH(Data_NFI_t[[#This Row],[Camp Name]],Camp_List[Camp Name],0)-1,0,1,1),"")</f>
        <v/>
      </c>
      <c r="AF20" s="714" t="str">
        <f ca="1">IFERROR(OFFSET(Camp_List[Status],MATCH(Data_NFI_t[[#This Row],[Camp Name]],Camp_List[Camp Name],0)-1,0,1,1),"")</f>
        <v/>
      </c>
    </row>
    <row r="21" spans="1:32" s="102" customFormat="1" ht="15" customHeight="1" x14ac:dyDescent="0.25">
      <c r="A21" s="265">
        <f t="shared" si="0"/>
        <v>9.0333333333333332</v>
      </c>
      <c r="B21" s="265">
        <v>2015</v>
      </c>
      <c r="C21" s="738">
        <v>42068</v>
      </c>
      <c r="D21" s="655" t="s">
        <v>288</v>
      </c>
      <c r="E21" s="654" t="s">
        <v>288</v>
      </c>
      <c r="F21" s="655" t="s">
        <v>7</v>
      </c>
      <c r="G21" s="31" t="s">
        <v>20</v>
      </c>
      <c r="H21" s="31" t="s">
        <v>106</v>
      </c>
      <c r="I21" s="31">
        <v>0</v>
      </c>
      <c r="J21" s="61">
        <v>43</v>
      </c>
      <c r="K21" s="61">
        <v>43</v>
      </c>
      <c r="L21" s="61">
        <v>86</v>
      </c>
      <c r="M21" s="61">
        <v>0</v>
      </c>
      <c r="N21" s="61">
        <v>86</v>
      </c>
      <c r="O21" s="61">
        <v>33</v>
      </c>
      <c r="P21" s="61">
        <v>0</v>
      </c>
      <c r="Q21" s="61">
        <v>43</v>
      </c>
      <c r="R21" s="708">
        <v>43</v>
      </c>
      <c r="S21" s="61">
        <v>165</v>
      </c>
      <c r="T21" s="150">
        <f>IF(NFI_Expiration=1,IF($A21&lt;VLOOKUP(I$5,NFI,5,0),1,0)*Data_NFI_t[[#This Row],[Hygiene Kit]],0)</f>
        <v>0</v>
      </c>
      <c r="U21" s="150">
        <f>IF(NFI_Expiration=1,IF($A21&lt;VLOOKUP(J$5,NFI,5,0),1,0)*Data_NFI_t[[#This Row],[NFI Core Kit]],0)</f>
        <v>43</v>
      </c>
      <c r="V21" s="131">
        <f>IF(NFI_Expiration=1,IF($A21&lt;VLOOKUP(K$5,NFI,5,0),1,0)*Data_NFI_t[[#This Row],[Sanitary Kit]],0)</f>
        <v>43</v>
      </c>
      <c r="W21" s="131">
        <f>IF(NFI_Expiration=1,IF($A21&lt;VLOOKUP(L$5,NFI,5,0),1,0)*Data_NFI_t[[#This Row],[Mosquito net]],0)</f>
        <v>86</v>
      </c>
      <c r="X21" s="131">
        <f>IF(NFI_Expiration=1,IF($A21&lt;VLOOKUP(M$5,NFI,5,0),1,0)*Data_NFI_t[[#This Row],[Tarpaulin]],0)</f>
        <v>0</v>
      </c>
      <c r="Y21" s="131">
        <f>IF(NFI_Expiration=1,IF($A21&lt;VLOOKUP(N$5,NFI,5,0),1,0)*Data_NFI_t[[#This Row],[Blanket]],0)</f>
        <v>86</v>
      </c>
      <c r="Z21" s="131">
        <f>IF(NFI_Expiration=1,IF($A21&lt;VLOOKUP(O$5,NFI,5,0),1,0)*Data_NFI_t[[#This Row],[Kitchen Set]],0)</f>
        <v>33</v>
      </c>
      <c r="AA21" s="131">
        <f>IF(NFI_Expiration=1,IF($A21&lt;VLOOKUP(P$5,NFI,5,0),1,0)*Data_NFI_t[[#This Row],[Complementary Kit]],0)</f>
        <v>0</v>
      </c>
      <c r="AB21" s="131">
        <f>IF(NFI_Expiration=1,IF($A21&lt;VLOOKUP(Q$5,NFI,5,0),1,0)*Data_NFI_t[[#This Row],[Plastic Bucket]],0)</f>
        <v>43</v>
      </c>
      <c r="AC21" s="131">
        <f>IF(NFI_Expiration=1,IF($A21&lt;VLOOKUP(R$5,NFI,5,0),1,0)*Data_NFI_t[[#This Row],[Jerry Can]],0)</f>
        <v>43</v>
      </c>
      <c r="AD21" s="150">
        <f>IF(NFI_Expiration=1,IF($A21&lt;VLOOKUP(S$5,NFI,5,0),1,0)*Data_NFI_t[[#This Row],[Plastic Mat]],0)*IF(Data_NFI_t[[#This Row],[Distribution Date]]&gt;"01-04-2014",1,2.5)</f>
        <v>412.5</v>
      </c>
      <c r="AE21" s="150" t="str">
        <f ca="1">IFERROR(OFFSET(Camp_List[P_Code],MATCH(Data_NFI_t[[#This Row],[Camp Name]],Camp_List[Camp Name],0)-1,0,1,1),"")</f>
        <v>MMR012CMP084</v>
      </c>
      <c r="AF21" s="714" t="str">
        <f ca="1">IFERROR(OFFSET(Camp_List[Status],MATCH(Data_NFI_t[[#This Row],[Camp Name]],Camp_List[Camp Name],0)-1,0,1,1),"")</f>
        <v>Open</v>
      </c>
    </row>
    <row r="22" spans="1:32" s="102" customFormat="1" ht="15" customHeight="1" x14ac:dyDescent="0.25">
      <c r="A22" s="265">
        <f t="shared" si="0"/>
        <v>4.833333333333333</v>
      </c>
      <c r="B22" s="265">
        <f>YEAR(Data_NFI_t[[#This Row],[Distribution Date]])</f>
        <v>2015</v>
      </c>
      <c r="C22" s="738">
        <v>42194</v>
      </c>
      <c r="D22" s="655" t="s">
        <v>288</v>
      </c>
      <c r="E22" s="654" t="s">
        <v>526</v>
      </c>
      <c r="F22" s="655" t="s">
        <v>7</v>
      </c>
      <c r="G22" s="31" t="s">
        <v>19</v>
      </c>
      <c r="H22" s="31" t="s">
        <v>649</v>
      </c>
      <c r="I22" s="31"/>
      <c r="J22" s="61">
        <v>624</v>
      </c>
      <c r="K22" s="61"/>
      <c r="L22" s="61">
        <v>1248</v>
      </c>
      <c r="M22" s="61">
        <v>624</v>
      </c>
      <c r="N22" s="61">
        <v>1248</v>
      </c>
      <c r="O22" s="61">
        <v>624</v>
      </c>
      <c r="P22" s="61"/>
      <c r="Q22" s="61">
        <v>624</v>
      </c>
      <c r="R22" s="708">
        <v>624</v>
      </c>
      <c r="S22" s="61">
        <v>3120</v>
      </c>
      <c r="T22" s="150">
        <f>IF(NFI_Expiration=1,IF($A22&lt;VLOOKUP(I$5,NFI,5,0),1,0)*Data_NFI_t[[#This Row],[Hygiene Kit]],0)</f>
        <v>0</v>
      </c>
      <c r="U22" s="150">
        <f>IF(NFI_Expiration=1,IF($A22&lt;VLOOKUP(J$5,NFI,5,0),1,0)*Data_NFI_t[[#This Row],[NFI Core Kit]],0)</f>
        <v>624</v>
      </c>
      <c r="V22" s="131">
        <f>IF(NFI_Expiration=1,IF($A22&lt;VLOOKUP(K$5,NFI,5,0),1,0)*Data_NFI_t[[#This Row],[Sanitary Kit]],0)</f>
        <v>0</v>
      </c>
      <c r="W22" s="131">
        <f>IF(NFI_Expiration=1,IF($A22&lt;VLOOKUP(L$5,NFI,5,0),1,0)*Data_NFI_t[[#This Row],[Mosquito net]],0)</f>
        <v>1248</v>
      </c>
      <c r="X22" s="131">
        <f>IF(NFI_Expiration=1,IF($A22&lt;VLOOKUP(M$5,NFI,5,0),1,0)*Data_NFI_t[[#This Row],[Tarpaulin]],0)</f>
        <v>624</v>
      </c>
      <c r="Y22" s="131">
        <f>IF(NFI_Expiration=1,IF($A22&lt;VLOOKUP(N$5,NFI,5,0),1,0)*Data_NFI_t[[#This Row],[Blanket]],0)</f>
        <v>1248</v>
      </c>
      <c r="Z22" s="131">
        <f>IF(NFI_Expiration=1,IF($A22&lt;VLOOKUP(O$5,NFI,5,0),1,0)*Data_NFI_t[[#This Row],[Kitchen Set]],0)</f>
        <v>624</v>
      </c>
      <c r="AA22" s="131">
        <f>IF(NFI_Expiration=1,IF($A22&lt;VLOOKUP(P$5,NFI,5,0),1,0)*Data_NFI_t[[#This Row],[Complementary Kit]],0)</f>
        <v>0</v>
      </c>
      <c r="AB22" s="131">
        <f>IF(NFI_Expiration=1,IF($A22&lt;VLOOKUP(Q$5,NFI,5,0),1,0)*Data_NFI_t[[#This Row],[Plastic Bucket]],0)</f>
        <v>624</v>
      </c>
      <c r="AC22" s="131">
        <f>IF(NFI_Expiration=1,IF($A22&lt;VLOOKUP(R$5,NFI,5,0),1,0)*Data_NFI_t[[#This Row],[Jerry Can]],0)</f>
        <v>624</v>
      </c>
      <c r="AD22" s="150">
        <f>IF(NFI_Expiration=1,IF($A22&lt;VLOOKUP(S$5,NFI,5,0),1,0)*Data_NFI_t[[#This Row],[Plastic Mat]],0)*IF(Data_NFI_t[[#This Row],[Distribution Date]]&gt;"01-04-2014",1,2.5)</f>
        <v>7800</v>
      </c>
      <c r="AE22" s="150" t="str">
        <f ca="1">IFERROR(OFFSET(Camp_List[P_Code],MATCH(Data_NFI_t[[#This Row],[Camp Name]],Camp_List[Camp Name],0)-1,0,1,1),"")</f>
        <v>MMR012CMP092</v>
      </c>
      <c r="AF22" s="714" t="str">
        <f ca="1">IFERROR(OFFSET(Camp_List[Status],MATCH(Data_NFI_t[[#This Row],[Camp Name]],Camp_List[Camp Name],0)-1,0,1,1),"")</f>
        <v>Open</v>
      </c>
    </row>
    <row r="23" spans="1:32" s="102" customFormat="1" ht="15" customHeight="1" x14ac:dyDescent="0.25">
      <c r="A23" s="265">
        <f t="shared" si="0"/>
        <v>5.2666666666666666</v>
      </c>
      <c r="B23" s="265">
        <f>YEAR(Data_NFI_t[[#This Row],[Distribution Date]])</f>
        <v>2015</v>
      </c>
      <c r="C23" s="738">
        <v>42181</v>
      </c>
      <c r="D23" s="655" t="s">
        <v>288</v>
      </c>
      <c r="E23" s="654" t="s">
        <v>288</v>
      </c>
      <c r="F23" s="655" t="s">
        <v>7</v>
      </c>
      <c r="G23" s="31" t="s">
        <v>15</v>
      </c>
      <c r="H23" s="31" t="s">
        <v>52</v>
      </c>
      <c r="I23" s="31"/>
      <c r="J23" s="61"/>
      <c r="K23" s="61"/>
      <c r="L23" s="61"/>
      <c r="M23" s="61">
        <v>112</v>
      </c>
      <c r="N23" s="61"/>
      <c r="O23" s="61"/>
      <c r="P23" s="61"/>
      <c r="Q23" s="61"/>
      <c r="R23" s="708"/>
      <c r="S23" s="61"/>
      <c r="T23" s="150">
        <f>IF(NFI_Expiration=1,IF($A23&lt;VLOOKUP(I$5,NFI,5,0),1,0)*Data_NFI_t[[#This Row],[Hygiene Kit]],0)</f>
        <v>0</v>
      </c>
      <c r="U23" s="150">
        <f>IF(NFI_Expiration=1,IF($A23&lt;VLOOKUP(J$5,NFI,5,0),1,0)*Data_NFI_t[[#This Row],[NFI Core Kit]],0)</f>
        <v>0</v>
      </c>
      <c r="V23" s="131">
        <f>IF(NFI_Expiration=1,IF($A23&lt;VLOOKUP(K$5,NFI,5,0),1,0)*Data_NFI_t[[#This Row],[Sanitary Kit]],0)</f>
        <v>0</v>
      </c>
      <c r="W23" s="131">
        <f>IF(NFI_Expiration=1,IF($A23&lt;VLOOKUP(L$5,NFI,5,0),1,0)*Data_NFI_t[[#This Row],[Mosquito net]],0)</f>
        <v>0</v>
      </c>
      <c r="X23" s="131">
        <f>IF(NFI_Expiration=1,IF($A23&lt;VLOOKUP(M$5,NFI,5,0),1,0)*Data_NFI_t[[#This Row],[Tarpaulin]],0)</f>
        <v>112</v>
      </c>
      <c r="Y23" s="131">
        <f>IF(NFI_Expiration=1,IF($A23&lt;VLOOKUP(N$5,NFI,5,0),1,0)*Data_NFI_t[[#This Row],[Blanket]],0)</f>
        <v>0</v>
      </c>
      <c r="Z23" s="131">
        <f>IF(NFI_Expiration=1,IF($A23&lt;VLOOKUP(O$5,NFI,5,0),1,0)*Data_NFI_t[[#This Row],[Kitchen Set]],0)</f>
        <v>0</v>
      </c>
      <c r="AA23" s="131">
        <f>IF(NFI_Expiration=1,IF($A23&lt;VLOOKUP(P$5,NFI,5,0),1,0)*Data_NFI_t[[#This Row],[Complementary Kit]],0)</f>
        <v>0</v>
      </c>
      <c r="AB23" s="131">
        <f>IF(NFI_Expiration=1,IF($A23&lt;VLOOKUP(Q$5,NFI,5,0),1,0)*Data_NFI_t[[#This Row],[Plastic Bucket]],0)</f>
        <v>0</v>
      </c>
      <c r="AC23" s="131">
        <f>IF(NFI_Expiration=1,IF($A23&lt;VLOOKUP(R$5,NFI,5,0),1,0)*Data_NFI_t[[#This Row],[Jerry Can]],0)</f>
        <v>0</v>
      </c>
      <c r="AD23" s="150">
        <f>IF(NFI_Expiration=1,IF($A23&lt;VLOOKUP(S$5,NFI,5,0),1,0)*Data_NFI_t[[#This Row],[Plastic Mat]],0)*IF(Data_NFI_t[[#This Row],[Distribution Date]]&gt;"01-04-2014",1,2.5)</f>
        <v>0</v>
      </c>
      <c r="AE23" s="150" t="str">
        <f ca="1">IFERROR(OFFSET(Camp_List[P_Code],MATCH(Data_NFI_t[[#This Row],[Camp Name]],Camp_List[Camp Name],0)-1,0,1,1),"")</f>
        <v>MMR012CMP028</v>
      </c>
      <c r="AF23" s="714" t="str">
        <f ca="1">IFERROR(OFFSET(Camp_List[Status],MATCH(Data_NFI_t[[#This Row],[Camp Name]],Camp_List[Camp Name],0)-1,0,1,1),"")</f>
        <v>Open</v>
      </c>
    </row>
    <row r="24" spans="1:32" s="102" customFormat="1" ht="15" customHeight="1" x14ac:dyDescent="0.25">
      <c r="A24" s="265">
        <f t="shared" si="0"/>
        <v>5.2666666666666666</v>
      </c>
      <c r="B24" s="265">
        <f>YEAR(Data_NFI_t[[#This Row],[Distribution Date]])</f>
        <v>2015</v>
      </c>
      <c r="C24" s="738">
        <v>42181</v>
      </c>
      <c r="D24" s="655" t="s">
        <v>288</v>
      </c>
      <c r="E24" s="654" t="s">
        <v>288</v>
      </c>
      <c r="F24" s="655" t="s">
        <v>7</v>
      </c>
      <c r="G24" s="31" t="s">
        <v>15</v>
      </c>
      <c r="H24" s="31" t="s">
        <v>53</v>
      </c>
      <c r="I24" s="31"/>
      <c r="J24" s="61"/>
      <c r="K24" s="61"/>
      <c r="L24" s="61"/>
      <c r="M24" s="61">
        <v>138</v>
      </c>
      <c r="N24" s="61"/>
      <c r="O24" s="61"/>
      <c r="P24" s="61"/>
      <c r="Q24" s="61"/>
      <c r="R24" s="708"/>
      <c r="S24" s="61"/>
      <c r="T24" s="150">
        <f>IF(NFI_Expiration=1,IF($A24&lt;VLOOKUP(I$5,NFI,5,0),1,0)*Data_NFI_t[[#This Row],[Hygiene Kit]],0)</f>
        <v>0</v>
      </c>
      <c r="U24" s="150">
        <f>IF(NFI_Expiration=1,IF($A24&lt;VLOOKUP(J$5,NFI,5,0),1,0)*Data_NFI_t[[#This Row],[NFI Core Kit]],0)</f>
        <v>0</v>
      </c>
      <c r="V24" s="131">
        <f>IF(NFI_Expiration=1,IF($A24&lt;VLOOKUP(K$5,NFI,5,0),1,0)*Data_NFI_t[[#This Row],[Sanitary Kit]],0)</f>
        <v>0</v>
      </c>
      <c r="W24" s="131">
        <f>IF(NFI_Expiration=1,IF($A24&lt;VLOOKUP(L$5,NFI,5,0),1,0)*Data_NFI_t[[#This Row],[Mosquito net]],0)</f>
        <v>0</v>
      </c>
      <c r="X24" s="131">
        <f>IF(NFI_Expiration=1,IF($A24&lt;VLOOKUP(M$5,NFI,5,0),1,0)*Data_NFI_t[[#This Row],[Tarpaulin]],0)</f>
        <v>138</v>
      </c>
      <c r="Y24" s="131">
        <f>IF(NFI_Expiration=1,IF($A24&lt;VLOOKUP(N$5,NFI,5,0),1,0)*Data_NFI_t[[#This Row],[Blanket]],0)</f>
        <v>0</v>
      </c>
      <c r="Z24" s="131">
        <f>IF(NFI_Expiration=1,IF($A24&lt;VLOOKUP(O$5,NFI,5,0),1,0)*Data_NFI_t[[#This Row],[Kitchen Set]],0)</f>
        <v>0</v>
      </c>
      <c r="AA24" s="131">
        <f>IF(NFI_Expiration=1,IF($A24&lt;VLOOKUP(P$5,NFI,5,0),1,0)*Data_NFI_t[[#This Row],[Complementary Kit]],0)</f>
        <v>0</v>
      </c>
      <c r="AB24" s="131">
        <f>IF(NFI_Expiration=1,IF($A24&lt;VLOOKUP(Q$5,NFI,5,0),1,0)*Data_NFI_t[[#This Row],[Plastic Bucket]],0)</f>
        <v>0</v>
      </c>
      <c r="AC24" s="131">
        <f>IF(NFI_Expiration=1,IF($A24&lt;VLOOKUP(R$5,NFI,5,0),1,0)*Data_NFI_t[[#This Row],[Jerry Can]],0)</f>
        <v>0</v>
      </c>
      <c r="AD24" s="150">
        <f>IF(NFI_Expiration=1,IF($A24&lt;VLOOKUP(S$5,NFI,5,0),1,0)*Data_NFI_t[[#This Row],[Plastic Mat]],0)*IF(Data_NFI_t[[#This Row],[Distribution Date]]&gt;"01-04-2014",1,2.5)</f>
        <v>0</v>
      </c>
      <c r="AE24" s="150" t="str">
        <f ca="1">IFERROR(OFFSET(Camp_List[P_Code],MATCH(Data_NFI_t[[#This Row],[Camp Name]],Camp_List[Camp Name],0)-1,0,1,1),"")</f>
        <v>MMR012CMP029</v>
      </c>
      <c r="AF24" s="714" t="str">
        <f ca="1">IFERROR(OFFSET(Camp_List[Status],MATCH(Data_NFI_t[[#This Row],[Camp Name]],Camp_List[Camp Name],0)-1,0,1,1),"")</f>
        <v>Open</v>
      </c>
    </row>
    <row r="25" spans="1:32" s="102" customFormat="1" ht="15" customHeight="1" x14ac:dyDescent="0.25">
      <c r="A25" s="265">
        <f t="shared" si="0"/>
        <v>5.3</v>
      </c>
      <c r="B25" s="265">
        <f>YEAR(Data_NFI_t[[#This Row],[Distribution Date]])</f>
        <v>2015</v>
      </c>
      <c r="C25" s="738">
        <v>42180</v>
      </c>
      <c r="D25" s="655" t="s">
        <v>288</v>
      </c>
      <c r="E25" s="654" t="s">
        <v>288</v>
      </c>
      <c r="F25" s="655" t="s">
        <v>7</v>
      </c>
      <c r="G25" s="31" t="s">
        <v>15</v>
      </c>
      <c r="H25" s="31" t="s">
        <v>47</v>
      </c>
      <c r="I25" s="31"/>
      <c r="J25" s="61"/>
      <c r="K25" s="61"/>
      <c r="L25" s="61"/>
      <c r="M25" s="61">
        <v>85</v>
      </c>
      <c r="N25" s="61"/>
      <c r="O25" s="61"/>
      <c r="P25" s="61"/>
      <c r="Q25" s="61"/>
      <c r="R25" s="708"/>
      <c r="S25" s="61"/>
      <c r="T25" s="150">
        <f>IF(NFI_Expiration=1,IF($A25&lt;VLOOKUP(I$5,NFI,5,0),1,0)*Data_NFI_t[[#This Row],[Hygiene Kit]],0)</f>
        <v>0</v>
      </c>
      <c r="U25" s="150">
        <f>IF(NFI_Expiration=1,IF($A25&lt;VLOOKUP(J$5,NFI,5,0),1,0)*Data_NFI_t[[#This Row],[NFI Core Kit]],0)</f>
        <v>0</v>
      </c>
      <c r="V25" s="131">
        <f>IF(NFI_Expiration=1,IF($A25&lt;VLOOKUP(K$5,NFI,5,0),1,0)*Data_NFI_t[[#This Row],[Sanitary Kit]],0)</f>
        <v>0</v>
      </c>
      <c r="W25" s="131">
        <f>IF(NFI_Expiration=1,IF($A25&lt;VLOOKUP(L$5,NFI,5,0),1,0)*Data_NFI_t[[#This Row],[Mosquito net]],0)</f>
        <v>0</v>
      </c>
      <c r="X25" s="131">
        <f>IF(NFI_Expiration=1,IF($A25&lt;VLOOKUP(M$5,NFI,5,0),1,0)*Data_NFI_t[[#This Row],[Tarpaulin]],0)</f>
        <v>85</v>
      </c>
      <c r="Y25" s="131">
        <f>IF(NFI_Expiration=1,IF($A25&lt;VLOOKUP(N$5,NFI,5,0),1,0)*Data_NFI_t[[#This Row],[Blanket]],0)</f>
        <v>0</v>
      </c>
      <c r="Z25" s="131">
        <f>IF(NFI_Expiration=1,IF($A25&lt;VLOOKUP(O$5,NFI,5,0),1,0)*Data_NFI_t[[#This Row],[Kitchen Set]],0)</f>
        <v>0</v>
      </c>
      <c r="AA25" s="131">
        <f>IF(NFI_Expiration=1,IF($A25&lt;VLOOKUP(P$5,NFI,5,0),1,0)*Data_NFI_t[[#This Row],[Complementary Kit]],0)</f>
        <v>0</v>
      </c>
      <c r="AB25" s="131">
        <f>IF(NFI_Expiration=1,IF($A25&lt;VLOOKUP(Q$5,NFI,5,0),1,0)*Data_NFI_t[[#This Row],[Plastic Bucket]],0)</f>
        <v>0</v>
      </c>
      <c r="AC25" s="131">
        <f>IF(NFI_Expiration=1,IF($A25&lt;VLOOKUP(R$5,NFI,5,0),1,0)*Data_NFI_t[[#This Row],[Jerry Can]],0)</f>
        <v>0</v>
      </c>
      <c r="AD25" s="150">
        <f>IF(NFI_Expiration=1,IF($A25&lt;VLOOKUP(S$5,NFI,5,0),1,0)*Data_NFI_t[[#This Row],[Plastic Mat]],0)*IF(Data_NFI_t[[#This Row],[Distribution Date]]&gt;"01-04-2014",1,2.5)</f>
        <v>0</v>
      </c>
      <c r="AE25" s="150" t="str">
        <f ca="1">IFERROR(OFFSET(Camp_List[P_Code],MATCH(Data_NFI_t[[#This Row],[Camp Name]],Camp_List[Camp Name],0)-1,0,1,1),"")</f>
        <v>MMR012CMP023</v>
      </c>
      <c r="AF25" s="714" t="str">
        <f ca="1">IFERROR(OFFSET(Camp_List[Status],MATCH(Data_NFI_t[[#This Row],[Camp Name]],Camp_List[Camp Name],0)-1,0,1,1),"")</f>
        <v>Open</v>
      </c>
    </row>
    <row r="26" spans="1:32" s="102" customFormat="1" ht="15" customHeight="1" x14ac:dyDescent="0.25">
      <c r="A26" s="265">
        <f t="shared" si="0"/>
        <v>5.3</v>
      </c>
      <c r="B26" s="265">
        <f>YEAR(Data_NFI_t[[#This Row],[Distribution Date]])</f>
        <v>2015</v>
      </c>
      <c r="C26" s="738">
        <v>42180</v>
      </c>
      <c r="D26" s="655" t="s">
        <v>288</v>
      </c>
      <c r="E26" s="654" t="s">
        <v>288</v>
      </c>
      <c r="F26" s="655" t="s">
        <v>7</v>
      </c>
      <c r="G26" s="31" t="s">
        <v>15</v>
      </c>
      <c r="H26" s="31" t="s">
        <v>54</v>
      </c>
      <c r="I26" s="31"/>
      <c r="J26" s="61"/>
      <c r="K26" s="61"/>
      <c r="L26" s="61"/>
      <c r="M26" s="61">
        <v>97</v>
      </c>
      <c r="N26" s="61"/>
      <c r="O26" s="61"/>
      <c r="P26" s="61"/>
      <c r="Q26" s="61"/>
      <c r="R26" s="708"/>
      <c r="S26" s="61"/>
      <c r="T26" s="150">
        <f>IF(NFI_Expiration=1,IF($A26&lt;VLOOKUP(I$5,NFI,5,0),1,0)*Data_NFI_t[[#This Row],[Hygiene Kit]],0)</f>
        <v>0</v>
      </c>
      <c r="U26" s="150">
        <f>IF(NFI_Expiration=1,IF($A26&lt;VLOOKUP(J$5,NFI,5,0),1,0)*Data_NFI_t[[#This Row],[NFI Core Kit]],0)</f>
        <v>0</v>
      </c>
      <c r="V26" s="131">
        <f>IF(NFI_Expiration=1,IF($A26&lt;VLOOKUP(K$5,NFI,5,0),1,0)*Data_NFI_t[[#This Row],[Sanitary Kit]],0)</f>
        <v>0</v>
      </c>
      <c r="W26" s="131">
        <f>IF(NFI_Expiration=1,IF($A26&lt;VLOOKUP(L$5,NFI,5,0),1,0)*Data_NFI_t[[#This Row],[Mosquito net]],0)</f>
        <v>0</v>
      </c>
      <c r="X26" s="131">
        <f>IF(NFI_Expiration=1,IF($A26&lt;VLOOKUP(M$5,NFI,5,0),1,0)*Data_NFI_t[[#This Row],[Tarpaulin]],0)</f>
        <v>97</v>
      </c>
      <c r="Y26" s="131">
        <f>IF(NFI_Expiration=1,IF($A26&lt;VLOOKUP(N$5,NFI,5,0),1,0)*Data_NFI_t[[#This Row],[Blanket]],0)</f>
        <v>0</v>
      </c>
      <c r="Z26" s="131">
        <f>IF(NFI_Expiration=1,IF($A26&lt;VLOOKUP(O$5,NFI,5,0),1,0)*Data_NFI_t[[#This Row],[Kitchen Set]],0)</f>
        <v>0</v>
      </c>
      <c r="AA26" s="131">
        <f>IF(NFI_Expiration=1,IF($A26&lt;VLOOKUP(P$5,NFI,5,0),1,0)*Data_NFI_t[[#This Row],[Complementary Kit]],0)</f>
        <v>0</v>
      </c>
      <c r="AB26" s="131">
        <f>IF(NFI_Expiration=1,IF($A26&lt;VLOOKUP(Q$5,NFI,5,0),1,0)*Data_NFI_t[[#This Row],[Plastic Bucket]],0)</f>
        <v>0</v>
      </c>
      <c r="AC26" s="131">
        <f>IF(NFI_Expiration=1,IF($A26&lt;VLOOKUP(R$5,NFI,5,0),1,0)*Data_NFI_t[[#This Row],[Jerry Can]],0)</f>
        <v>0</v>
      </c>
      <c r="AD26" s="150">
        <f>IF(NFI_Expiration=1,IF($A26&lt;VLOOKUP(S$5,NFI,5,0),1,0)*Data_NFI_t[[#This Row],[Plastic Mat]],0)*IF(Data_NFI_t[[#This Row],[Distribution Date]]&gt;"01-04-2014",1,2.5)</f>
        <v>0</v>
      </c>
      <c r="AE26" s="150" t="str">
        <f ca="1">IFERROR(OFFSET(Camp_List[P_Code],MATCH(Data_NFI_t[[#This Row],[Camp Name]],Camp_List[Camp Name],0)-1,0,1,1),"")</f>
        <v>MMR012CMP030</v>
      </c>
      <c r="AF26" s="714" t="str">
        <f ca="1">IFERROR(OFFSET(Camp_List[Status],MATCH(Data_NFI_t[[#This Row],[Camp Name]],Camp_List[Camp Name],0)-1,0,1,1),"")</f>
        <v>Open</v>
      </c>
    </row>
    <row r="27" spans="1:32" s="102" customFormat="1" ht="15" customHeight="1" x14ac:dyDescent="0.25">
      <c r="A27" s="265">
        <f t="shared" si="0"/>
        <v>5.333333333333333</v>
      </c>
      <c r="B27" s="265">
        <f>YEAR(Data_NFI_t[[#This Row],[Distribution Date]])</f>
        <v>2015</v>
      </c>
      <c r="C27" s="738">
        <v>42179</v>
      </c>
      <c r="D27" s="655" t="s">
        <v>288</v>
      </c>
      <c r="E27" s="654" t="s">
        <v>288</v>
      </c>
      <c r="F27" s="655" t="s">
        <v>7</v>
      </c>
      <c r="G27" s="31" t="s">
        <v>15</v>
      </c>
      <c r="H27" s="31" t="s">
        <v>50</v>
      </c>
      <c r="I27" s="31"/>
      <c r="J27" s="61"/>
      <c r="K27" s="61"/>
      <c r="L27" s="61"/>
      <c r="M27" s="61">
        <v>236</v>
      </c>
      <c r="N27" s="61"/>
      <c r="O27" s="61"/>
      <c r="P27" s="61"/>
      <c r="Q27" s="61"/>
      <c r="R27" s="708"/>
      <c r="S27" s="61"/>
      <c r="T27" s="150">
        <f>IF(NFI_Expiration=1,IF($A27&lt;VLOOKUP(I$5,NFI,5,0),1,0)*Data_NFI_t[[#This Row],[Hygiene Kit]],0)</f>
        <v>0</v>
      </c>
      <c r="U27" s="150">
        <f>IF(NFI_Expiration=1,IF($A27&lt;VLOOKUP(J$5,NFI,5,0),1,0)*Data_NFI_t[[#This Row],[NFI Core Kit]],0)</f>
        <v>0</v>
      </c>
      <c r="V27" s="131">
        <f>IF(NFI_Expiration=1,IF($A27&lt;VLOOKUP(K$5,NFI,5,0),1,0)*Data_NFI_t[[#This Row],[Sanitary Kit]],0)</f>
        <v>0</v>
      </c>
      <c r="W27" s="131">
        <f>IF(NFI_Expiration=1,IF($A27&lt;VLOOKUP(L$5,NFI,5,0),1,0)*Data_NFI_t[[#This Row],[Mosquito net]],0)</f>
        <v>0</v>
      </c>
      <c r="X27" s="131">
        <f>IF(NFI_Expiration=1,IF($A27&lt;VLOOKUP(M$5,NFI,5,0),1,0)*Data_NFI_t[[#This Row],[Tarpaulin]],0)</f>
        <v>236</v>
      </c>
      <c r="Y27" s="131">
        <f>IF(NFI_Expiration=1,IF($A27&lt;VLOOKUP(N$5,NFI,5,0),1,0)*Data_NFI_t[[#This Row],[Blanket]],0)</f>
        <v>0</v>
      </c>
      <c r="Z27" s="131">
        <f>IF(NFI_Expiration=1,IF($A27&lt;VLOOKUP(O$5,NFI,5,0),1,0)*Data_NFI_t[[#This Row],[Kitchen Set]],0)</f>
        <v>0</v>
      </c>
      <c r="AA27" s="131">
        <f>IF(NFI_Expiration=1,IF($A27&lt;VLOOKUP(P$5,NFI,5,0),1,0)*Data_NFI_t[[#This Row],[Complementary Kit]],0)</f>
        <v>0</v>
      </c>
      <c r="AB27" s="131">
        <f>IF(NFI_Expiration=1,IF($A27&lt;VLOOKUP(Q$5,NFI,5,0),1,0)*Data_NFI_t[[#This Row],[Plastic Bucket]],0)</f>
        <v>0</v>
      </c>
      <c r="AC27" s="131">
        <f>IF(NFI_Expiration=1,IF($A27&lt;VLOOKUP(R$5,NFI,5,0),1,0)*Data_NFI_t[[#This Row],[Jerry Can]],0)</f>
        <v>0</v>
      </c>
      <c r="AD27" s="150">
        <f>IF(NFI_Expiration=1,IF($A27&lt;VLOOKUP(S$5,NFI,5,0),1,0)*Data_NFI_t[[#This Row],[Plastic Mat]],0)*IF(Data_NFI_t[[#This Row],[Distribution Date]]&gt;"01-04-2014",1,2.5)</f>
        <v>0</v>
      </c>
      <c r="AE27" s="150" t="str">
        <f ca="1">IFERROR(OFFSET(Camp_List[P_Code],MATCH(Data_NFI_t[[#This Row],[Camp Name]],Camp_List[Camp Name],0)-1,0,1,1),"")</f>
        <v>MMR012CMP026</v>
      </c>
      <c r="AF27" s="714" t="str">
        <f ca="1">IFERROR(OFFSET(Camp_List[Status],MATCH(Data_NFI_t[[#This Row],[Camp Name]],Camp_List[Camp Name],0)-1,0,1,1),"")</f>
        <v>Open</v>
      </c>
    </row>
    <row r="28" spans="1:32" s="102" customFormat="1" ht="15" customHeight="1" x14ac:dyDescent="0.25">
      <c r="A28" s="265">
        <f t="shared" si="0"/>
        <v>5.333333333333333</v>
      </c>
      <c r="B28" s="265">
        <f>YEAR(Data_NFI_t[[#This Row],[Distribution Date]])</f>
        <v>2015</v>
      </c>
      <c r="C28" s="738">
        <v>42179</v>
      </c>
      <c r="D28" s="655" t="s">
        <v>288</v>
      </c>
      <c r="E28" s="654" t="s">
        <v>288</v>
      </c>
      <c r="F28" s="655" t="s">
        <v>7</v>
      </c>
      <c r="G28" s="31" t="s">
        <v>15</v>
      </c>
      <c r="H28" s="31" t="s">
        <v>48</v>
      </c>
      <c r="I28" s="31"/>
      <c r="J28" s="61"/>
      <c r="K28" s="61"/>
      <c r="L28" s="61"/>
      <c r="M28" s="61">
        <v>92</v>
      </c>
      <c r="N28" s="61"/>
      <c r="O28" s="61"/>
      <c r="P28" s="61"/>
      <c r="Q28" s="61"/>
      <c r="R28" s="708"/>
      <c r="S28" s="61"/>
      <c r="T28" s="150">
        <f>IF(NFI_Expiration=1,IF($A28&lt;VLOOKUP(I$5,NFI,5,0),1,0)*Data_NFI_t[[#This Row],[Hygiene Kit]],0)</f>
        <v>0</v>
      </c>
      <c r="U28" s="150">
        <f>IF(NFI_Expiration=1,IF($A28&lt;VLOOKUP(J$5,NFI,5,0),1,0)*Data_NFI_t[[#This Row],[NFI Core Kit]],0)</f>
        <v>0</v>
      </c>
      <c r="V28" s="131">
        <f>IF(NFI_Expiration=1,IF($A28&lt;VLOOKUP(K$5,NFI,5,0),1,0)*Data_NFI_t[[#This Row],[Sanitary Kit]],0)</f>
        <v>0</v>
      </c>
      <c r="W28" s="131">
        <f>IF(NFI_Expiration=1,IF($A28&lt;VLOOKUP(L$5,NFI,5,0),1,0)*Data_NFI_t[[#This Row],[Mosquito net]],0)</f>
        <v>0</v>
      </c>
      <c r="X28" s="131">
        <f>IF(NFI_Expiration=1,IF($A28&lt;VLOOKUP(M$5,NFI,5,0),1,0)*Data_NFI_t[[#This Row],[Tarpaulin]],0)</f>
        <v>92</v>
      </c>
      <c r="Y28" s="131">
        <f>IF(NFI_Expiration=1,IF($A28&lt;VLOOKUP(N$5,NFI,5,0),1,0)*Data_NFI_t[[#This Row],[Blanket]],0)</f>
        <v>0</v>
      </c>
      <c r="Z28" s="131">
        <f>IF(NFI_Expiration=1,IF($A28&lt;VLOOKUP(O$5,NFI,5,0),1,0)*Data_NFI_t[[#This Row],[Kitchen Set]],0)</f>
        <v>0</v>
      </c>
      <c r="AA28" s="131">
        <f>IF(NFI_Expiration=1,IF($A28&lt;VLOOKUP(P$5,NFI,5,0),1,0)*Data_NFI_t[[#This Row],[Complementary Kit]],0)</f>
        <v>0</v>
      </c>
      <c r="AB28" s="131">
        <f>IF(NFI_Expiration=1,IF($A28&lt;VLOOKUP(Q$5,NFI,5,0),1,0)*Data_NFI_t[[#This Row],[Plastic Bucket]],0)</f>
        <v>0</v>
      </c>
      <c r="AC28" s="131">
        <f>IF(NFI_Expiration=1,IF($A28&lt;VLOOKUP(R$5,NFI,5,0),1,0)*Data_NFI_t[[#This Row],[Jerry Can]],0)</f>
        <v>0</v>
      </c>
      <c r="AD28" s="150">
        <f>IF(NFI_Expiration=1,IF($A28&lt;VLOOKUP(S$5,NFI,5,0),1,0)*Data_NFI_t[[#This Row],[Plastic Mat]],0)*IF(Data_NFI_t[[#This Row],[Distribution Date]]&gt;"01-04-2014",1,2.5)</f>
        <v>0</v>
      </c>
      <c r="AE28" s="150" t="str">
        <f ca="1">IFERROR(OFFSET(Camp_List[P_Code],MATCH(Data_NFI_t[[#This Row],[Camp Name]],Camp_List[Camp Name],0)-1,0,1,1),"")</f>
        <v>MMR012CMP024</v>
      </c>
      <c r="AF28" s="714" t="str">
        <f ca="1">IFERROR(OFFSET(Camp_List[Status],MATCH(Data_NFI_t[[#This Row],[Camp Name]],Camp_List[Camp Name],0)-1,0,1,1),"")</f>
        <v>Open</v>
      </c>
    </row>
    <row r="29" spans="1:32" s="102" customFormat="1" ht="15" customHeight="1" x14ac:dyDescent="0.25">
      <c r="A29" s="265">
        <f t="shared" si="0"/>
        <v>5.333333333333333</v>
      </c>
      <c r="B29" s="265">
        <f>YEAR(Data_NFI_t[[#This Row],[Distribution Date]])</f>
        <v>2015</v>
      </c>
      <c r="C29" s="738">
        <v>42179</v>
      </c>
      <c r="D29" s="655" t="s">
        <v>288</v>
      </c>
      <c r="E29" s="654" t="s">
        <v>288</v>
      </c>
      <c r="F29" s="655" t="s">
        <v>7</v>
      </c>
      <c r="G29" s="31" t="s">
        <v>15</v>
      </c>
      <c r="H29" s="31" t="s">
        <v>51</v>
      </c>
      <c r="I29" s="31"/>
      <c r="J29" s="61"/>
      <c r="K29" s="61"/>
      <c r="L29" s="61"/>
      <c r="M29" s="61">
        <v>116</v>
      </c>
      <c r="N29" s="61"/>
      <c r="O29" s="61"/>
      <c r="P29" s="61"/>
      <c r="Q29" s="61"/>
      <c r="R29" s="708"/>
      <c r="S29" s="61"/>
      <c r="T29" s="150">
        <f>IF(NFI_Expiration=1,IF($A29&lt;VLOOKUP(I$5,NFI,5,0),1,0)*Data_NFI_t[[#This Row],[Hygiene Kit]],0)</f>
        <v>0</v>
      </c>
      <c r="U29" s="150">
        <f>IF(NFI_Expiration=1,IF($A29&lt;VLOOKUP(J$5,NFI,5,0),1,0)*Data_NFI_t[[#This Row],[NFI Core Kit]],0)</f>
        <v>0</v>
      </c>
      <c r="V29" s="131">
        <f>IF(NFI_Expiration=1,IF($A29&lt;VLOOKUP(K$5,NFI,5,0),1,0)*Data_NFI_t[[#This Row],[Sanitary Kit]],0)</f>
        <v>0</v>
      </c>
      <c r="W29" s="131">
        <f>IF(NFI_Expiration=1,IF($A29&lt;VLOOKUP(L$5,NFI,5,0),1,0)*Data_NFI_t[[#This Row],[Mosquito net]],0)</f>
        <v>0</v>
      </c>
      <c r="X29" s="131">
        <f>IF(NFI_Expiration=1,IF($A29&lt;VLOOKUP(M$5,NFI,5,0),1,0)*Data_NFI_t[[#This Row],[Tarpaulin]],0)</f>
        <v>116</v>
      </c>
      <c r="Y29" s="131">
        <f>IF(NFI_Expiration=1,IF($A29&lt;VLOOKUP(N$5,NFI,5,0),1,0)*Data_NFI_t[[#This Row],[Blanket]],0)</f>
        <v>0</v>
      </c>
      <c r="Z29" s="131">
        <f>IF(NFI_Expiration=1,IF($A29&lt;VLOOKUP(O$5,NFI,5,0),1,0)*Data_NFI_t[[#This Row],[Kitchen Set]],0)</f>
        <v>0</v>
      </c>
      <c r="AA29" s="131">
        <f>IF(NFI_Expiration=1,IF($A29&lt;VLOOKUP(P$5,NFI,5,0),1,0)*Data_NFI_t[[#This Row],[Complementary Kit]],0)</f>
        <v>0</v>
      </c>
      <c r="AB29" s="131">
        <f>IF(NFI_Expiration=1,IF($A29&lt;VLOOKUP(Q$5,NFI,5,0),1,0)*Data_NFI_t[[#This Row],[Plastic Bucket]],0)</f>
        <v>0</v>
      </c>
      <c r="AC29" s="131">
        <f>IF(NFI_Expiration=1,IF($A29&lt;VLOOKUP(R$5,NFI,5,0),1,0)*Data_NFI_t[[#This Row],[Jerry Can]],0)</f>
        <v>0</v>
      </c>
      <c r="AD29" s="150">
        <f>IF(NFI_Expiration=1,IF($A29&lt;VLOOKUP(S$5,NFI,5,0),1,0)*Data_NFI_t[[#This Row],[Plastic Mat]],0)*IF(Data_NFI_t[[#This Row],[Distribution Date]]&gt;"01-04-2014",1,2.5)</f>
        <v>0</v>
      </c>
      <c r="AE29" s="150" t="str">
        <f ca="1">IFERROR(OFFSET(Camp_List[P_Code],MATCH(Data_NFI_t[[#This Row],[Camp Name]],Camp_List[Camp Name],0)-1,0,1,1),"")</f>
        <v>MMR012CMP027</v>
      </c>
      <c r="AF29" s="714" t="str">
        <f ca="1">IFERROR(OFFSET(Camp_List[Status],MATCH(Data_NFI_t[[#This Row],[Camp Name]],Camp_List[Camp Name],0)-1,0,1,1),"")</f>
        <v>Open</v>
      </c>
    </row>
    <row r="30" spans="1:32" s="102" customFormat="1" ht="15" customHeight="1" x14ac:dyDescent="0.25">
      <c r="A30" s="265">
        <f t="shared" si="0"/>
        <v>5.3666666666666663</v>
      </c>
      <c r="B30" s="265">
        <f>YEAR(Data_NFI_t[[#This Row],[Distribution Date]])</f>
        <v>2015</v>
      </c>
      <c r="C30" s="738">
        <v>42178</v>
      </c>
      <c r="D30" s="655" t="s">
        <v>288</v>
      </c>
      <c r="E30" s="654" t="s">
        <v>288</v>
      </c>
      <c r="F30" s="655" t="s">
        <v>7</v>
      </c>
      <c r="G30" s="31" t="s">
        <v>11</v>
      </c>
      <c r="H30" s="31" t="s">
        <v>26</v>
      </c>
      <c r="I30" s="31"/>
      <c r="J30" s="61"/>
      <c r="K30" s="61"/>
      <c r="L30" s="61"/>
      <c r="M30" s="61">
        <v>16</v>
      </c>
      <c r="N30" s="61"/>
      <c r="O30" s="61"/>
      <c r="P30" s="61"/>
      <c r="Q30" s="61"/>
      <c r="R30" s="708"/>
      <c r="S30" s="61"/>
      <c r="T30" s="150">
        <f>IF(NFI_Expiration=1,IF($A30&lt;VLOOKUP(I$5,NFI,5,0),1,0)*Data_NFI_t[[#This Row],[Hygiene Kit]],0)</f>
        <v>0</v>
      </c>
      <c r="U30" s="150">
        <f>IF(NFI_Expiration=1,IF($A30&lt;VLOOKUP(J$5,NFI,5,0),1,0)*Data_NFI_t[[#This Row],[NFI Core Kit]],0)</f>
        <v>0</v>
      </c>
      <c r="V30" s="131">
        <f>IF(NFI_Expiration=1,IF($A30&lt;VLOOKUP(K$5,NFI,5,0),1,0)*Data_NFI_t[[#This Row],[Sanitary Kit]],0)</f>
        <v>0</v>
      </c>
      <c r="W30" s="131">
        <f>IF(NFI_Expiration=1,IF($A30&lt;VLOOKUP(L$5,NFI,5,0),1,0)*Data_NFI_t[[#This Row],[Mosquito net]],0)</f>
        <v>0</v>
      </c>
      <c r="X30" s="131">
        <f>IF(NFI_Expiration=1,IF($A30&lt;VLOOKUP(M$5,NFI,5,0),1,0)*Data_NFI_t[[#This Row],[Tarpaulin]],0)</f>
        <v>16</v>
      </c>
      <c r="Y30" s="131">
        <f>IF(NFI_Expiration=1,IF($A30&lt;VLOOKUP(N$5,NFI,5,0),1,0)*Data_NFI_t[[#This Row],[Blanket]],0)</f>
        <v>0</v>
      </c>
      <c r="Z30" s="131">
        <f>IF(NFI_Expiration=1,IF($A30&lt;VLOOKUP(O$5,NFI,5,0),1,0)*Data_NFI_t[[#This Row],[Kitchen Set]],0)</f>
        <v>0</v>
      </c>
      <c r="AA30" s="131">
        <f>IF(NFI_Expiration=1,IF($A30&lt;VLOOKUP(P$5,NFI,5,0),1,0)*Data_NFI_t[[#This Row],[Complementary Kit]],0)</f>
        <v>0</v>
      </c>
      <c r="AB30" s="131">
        <f>IF(NFI_Expiration=1,IF($A30&lt;VLOOKUP(Q$5,NFI,5,0),1,0)*Data_NFI_t[[#This Row],[Plastic Bucket]],0)</f>
        <v>0</v>
      </c>
      <c r="AC30" s="131">
        <f>IF(NFI_Expiration=1,IF($A30&lt;VLOOKUP(R$5,NFI,5,0),1,0)*Data_NFI_t[[#This Row],[Jerry Can]],0)</f>
        <v>0</v>
      </c>
      <c r="AD30" s="150">
        <f>IF(NFI_Expiration=1,IF($A30&lt;VLOOKUP(S$5,NFI,5,0),1,0)*Data_NFI_t[[#This Row],[Plastic Mat]],0)*IF(Data_NFI_t[[#This Row],[Distribution Date]]&gt;"01-04-2014",1,2.5)</f>
        <v>0</v>
      </c>
      <c r="AE30" s="150" t="str">
        <f ca="1">IFERROR(OFFSET(Camp_List[P_Code],MATCH(Data_NFI_t[[#This Row],[Camp Name]],Camp_List[Camp Name],0)-1,0,1,1),"")</f>
        <v>MMR012CMP002</v>
      </c>
      <c r="AF30" s="714" t="str">
        <f ca="1">IFERROR(OFFSET(Camp_List[Status],MATCH(Data_NFI_t[[#This Row],[Camp Name]],Camp_List[Camp Name],0)-1,0,1,1),"")</f>
        <v>Open</v>
      </c>
    </row>
    <row r="31" spans="1:32" s="102" customFormat="1" ht="15" customHeight="1" x14ac:dyDescent="0.25">
      <c r="A31" s="265">
        <f t="shared" si="0"/>
        <v>5.7666666666666666</v>
      </c>
      <c r="B31" s="265">
        <f>YEAR(Data_NFI_t[[#This Row],[Distribution Date]])</f>
        <v>2015</v>
      </c>
      <c r="C31" s="738">
        <v>42166</v>
      </c>
      <c r="D31" s="655" t="s">
        <v>288</v>
      </c>
      <c r="E31" s="654" t="s">
        <v>288</v>
      </c>
      <c r="F31" s="655" t="s">
        <v>7</v>
      </c>
      <c r="G31" s="31" t="s">
        <v>11</v>
      </c>
      <c r="H31" s="31" t="s">
        <v>26</v>
      </c>
      <c r="I31" s="31"/>
      <c r="J31" s="61"/>
      <c r="K31" s="61"/>
      <c r="L31" s="61"/>
      <c r="M31" s="61">
        <v>187</v>
      </c>
      <c r="N31" s="61"/>
      <c r="O31" s="61"/>
      <c r="P31" s="61"/>
      <c r="Q31" s="61"/>
      <c r="R31" s="708"/>
      <c r="S31" s="61"/>
      <c r="T31" s="150">
        <f>IF(NFI_Expiration=1,IF($A31&lt;VLOOKUP(I$5,NFI,5,0),1,0)*Data_NFI_t[[#This Row],[Hygiene Kit]],0)</f>
        <v>0</v>
      </c>
      <c r="U31" s="150">
        <f>IF(NFI_Expiration=1,IF($A31&lt;VLOOKUP(J$5,NFI,5,0),1,0)*Data_NFI_t[[#This Row],[NFI Core Kit]],0)</f>
        <v>0</v>
      </c>
      <c r="V31" s="131">
        <f>IF(NFI_Expiration=1,IF($A31&lt;VLOOKUP(K$5,NFI,5,0),1,0)*Data_NFI_t[[#This Row],[Sanitary Kit]],0)</f>
        <v>0</v>
      </c>
      <c r="W31" s="131">
        <f>IF(NFI_Expiration=1,IF($A31&lt;VLOOKUP(L$5,NFI,5,0),1,0)*Data_NFI_t[[#This Row],[Mosquito net]],0)</f>
        <v>0</v>
      </c>
      <c r="X31" s="131">
        <f>IF(NFI_Expiration=1,IF($A31&lt;VLOOKUP(M$5,NFI,5,0),1,0)*Data_NFI_t[[#This Row],[Tarpaulin]],0)</f>
        <v>187</v>
      </c>
      <c r="Y31" s="131">
        <f>IF(NFI_Expiration=1,IF($A31&lt;VLOOKUP(N$5,NFI,5,0),1,0)*Data_NFI_t[[#This Row],[Blanket]],0)</f>
        <v>0</v>
      </c>
      <c r="Z31" s="131">
        <f>IF(NFI_Expiration=1,IF($A31&lt;VLOOKUP(O$5,NFI,5,0),1,0)*Data_NFI_t[[#This Row],[Kitchen Set]],0)</f>
        <v>0</v>
      </c>
      <c r="AA31" s="131">
        <f>IF(NFI_Expiration=1,IF($A31&lt;VLOOKUP(P$5,NFI,5,0),1,0)*Data_NFI_t[[#This Row],[Complementary Kit]],0)</f>
        <v>0</v>
      </c>
      <c r="AB31" s="131">
        <f>IF(NFI_Expiration=1,IF($A31&lt;VLOOKUP(Q$5,NFI,5,0),1,0)*Data_NFI_t[[#This Row],[Plastic Bucket]],0)</f>
        <v>0</v>
      </c>
      <c r="AC31" s="131">
        <f>IF(NFI_Expiration=1,IF($A31&lt;VLOOKUP(R$5,NFI,5,0),1,0)*Data_NFI_t[[#This Row],[Jerry Can]],0)</f>
        <v>0</v>
      </c>
      <c r="AD31" s="150">
        <f>IF(NFI_Expiration=1,IF($A31&lt;VLOOKUP(S$5,NFI,5,0),1,0)*Data_NFI_t[[#This Row],[Plastic Mat]],0)*IF(Data_NFI_t[[#This Row],[Distribution Date]]&gt;"01-04-2014",1,2.5)</f>
        <v>0</v>
      </c>
      <c r="AE31" s="150" t="str">
        <f ca="1">IFERROR(OFFSET(Camp_List[P_Code],MATCH(Data_NFI_t[[#This Row],[Camp Name]],Camp_List[Camp Name],0)-1,0,1,1),"")</f>
        <v>MMR012CMP002</v>
      </c>
      <c r="AF31" s="714" t="str">
        <f ca="1">IFERROR(OFFSET(Camp_List[Status],MATCH(Data_NFI_t[[#This Row],[Camp Name]],Camp_List[Camp Name],0)-1,0,1,1),"")</f>
        <v>Open</v>
      </c>
    </row>
    <row r="32" spans="1:32" s="102" customFormat="1" ht="15" customHeight="1" x14ac:dyDescent="0.25">
      <c r="A32" s="265">
        <f t="shared" si="0"/>
        <v>5.7666666666666666</v>
      </c>
      <c r="B32" s="265">
        <f>YEAR(Data_NFI_t[[#This Row],[Distribution Date]])</f>
        <v>2015</v>
      </c>
      <c r="C32" s="738">
        <v>42166</v>
      </c>
      <c r="D32" s="655" t="s">
        <v>288</v>
      </c>
      <c r="E32" s="654" t="s">
        <v>288</v>
      </c>
      <c r="F32" s="655" t="s">
        <v>7</v>
      </c>
      <c r="G32" s="31" t="s">
        <v>11</v>
      </c>
      <c r="H32" s="31" t="s">
        <v>27</v>
      </c>
      <c r="I32" s="31"/>
      <c r="J32" s="61"/>
      <c r="K32" s="61"/>
      <c r="L32" s="61"/>
      <c r="M32" s="61">
        <v>90</v>
      </c>
      <c r="N32" s="61"/>
      <c r="O32" s="61"/>
      <c r="P32" s="61"/>
      <c r="Q32" s="61"/>
      <c r="R32" s="708"/>
      <c r="S32" s="61"/>
      <c r="T32" s="150">
        <f>IF(NFI_Expiration=1,IF($A32&lt;VLOOKUP(I$5,NFI,5,0),1,0)*Data_NFI_t[[#This Row],[Hygiene Kit]],0)</f>
        <v>0</v>
      </c>
      <c r="U32" s="150">
        <f>IF(NFI_Expiration=1,IF($A32&lt;VLOOKUP(J$5,NFI,5,0),1,0)*Data_NFI_t[[#This Row],[NFI Core Kit]],0)</f>
        <v>0</v>
      </c>
      <c r="V32" s="131">
        <f>IF(NFI_Expiration=1,IF($A32&lt;VLOOKUP(K$5,NFI,5,0),1,0)*Data_NFI_t[[#This Row],[Sanitary Kit]],0)</f>
        <v>0</v>
      </c>
      <c r="W32" s="131">
        <f>IF(NFI_Expiration=1,IF($A32&lt;VLOOKUP(L$5,NFI,5,0),1,0)*Data_NFI_t[[#This Row],[Mosquito net]],0)</f>
        <v>0</v>
      </c>
      <c r="X32" s="131">
        <f>IF(NFI_Expiration=1,IF($A32&lt;VLOOKUP(M$5,NFI,5,0),1,0)*Data_NFI_t[[#This Row],[Tarpaulin]],0)</f>
        <v>90</v>
      </c>
      <c r="Y32" s="131">
        <f>IF(NFI_Expiration=1,IF($A32&lt;VLOOKUP(N$5,NFI,5,0),1,0)*Data_NFI_t[[#This Row],[Blanket]],0)</f>
        <v>0</v>
      </c>
      <c r="Z32" s="131">
        <f>IF(NFI_Expiration=1,IF($A32&lt;VLOOKUP(O$5,NFI,5,0),1,0)*Data_NFI_t[[#This Row],[Kitchen Set]],0)</f>
        <v>0</v>
      </c>
      <c r="AA32" s="131">
        <f>IF(NFI_Expiration=1,IF($A32&lt;VLOOKUP(P$5,NFI,5,0),1,0)*Data_NFI_t[[#This Row],[Complementary Kit]],0)</f>
        <v>0</v>
      </c>
      <c r="AB32" s="131">
        <f>IF(NFI_Expiration=1,IF($A32&lt;VLOOKUP(Q$5,NFI,5,0),1,0)*Data_NFI_t[[#This Row],[Plastic Bucket]],0)</f>
        <v>0</v>
      </c>
      <c r="AC32" s="131">
        <f>IF(NFI_Expiration=1,IF($A32&lt;VLOOKUP(R$5,NFI,5,0),1,0)*Data_NFI_t[[#This Row],[Jerry Can]],0)</f>
        <v>0</v>
      </c>
      <c r="AD32" s="150">
        <f>IF(NFI_Expiration=1,IF($A32&lt;VLOOKUP(S$5,NFI,5,0),1,0)*Data_NFI_t[[#This Row],[Plastic Mat]],0)*IF(Data_NFI_t[[#This Row],[Distribution Date]]&gt;"01-04-2014",1,2.5)</f>
        <v>0</v>
      </c>
      <c r="AE32" s="150" t="str">
        <f ca="1">IFERROR(OFFSET(Camp_List[P_Code],MATCH(Data_NFI_t[[#This Row],[Camp Name]],Camp_List[Camp Name],0)-1,0,1,1),"")</f>
        <v>MMR012CMP003</v>
      </c>
      <c r="AF32" s="714" t="str">
        <f ca="1">IFERROR(OFFSET(Camp_List[Status],MATCH(Data_NFI_t[[#This Row],[Camp Name]],Camp_List[Camp Name],0)-1,0,1,1),"")</f>
        <v>Open</v>
      </c>
    </row>
    <row r="33" spans="1:32" s="102" customFormat="1" ht="15" customHeight="1" x14ac:dyDescent="0.25">
      <c r="A33" s="265">
        <f t="shared" si="0"/>
        <v>5.7666666666666666</v>
      </c>
      <c r="B33" s="265">
        <f>YEAR(Data_NFI_t[[#This Row],[Distribution Date]])</f>
        <v>2015</v>
      </c>
      <c r="C33" s="738">
        <v>42166</v>
      </c>
      <c r="D33" s="655" t="s">
        <v>288</v>
      </c>
      <c r="E33" s="654" t="s">
        <v>288</v>
      </c>
      <c r="F33" s="655" t="s">
        <v>7</v>
      </c>
      <c r="G33" s="31" t="s">
        <v>11</v>
      </c>
      <c r="H33" s="31" t="s">
        <v>30</v>
      </c>
      <c r="I33" s="31"/>
      <c r="J33" s="61"/>
      <c r="K33" s="61"/>
      <c r="L33" s="61"/>
      <c r="M33" s="61">
        <v>86</v>
      </c>
      <c r="N33" s="61"/>
      <c r="O33" s="61"/>
      <c r="P33" s="61"/>
      <c r="Q33" s="61"/>
      <c r="R33" s="708"/>
      <c r="S33" s="61"/>
      <c r="T33" s="150">
        <f>IF(NFI_Expiration=1,IF($A33&lt;VLOOKUP(I$5,NFI,5,0),1,0)*Data_NFI_t[[#This Row],[Hygiene Kit]],0)</f>
        <v>0</v>
      </c>
      <c r="U33" s="150">
        <f>IF(NFI_Expiration=1,IF($A33&lt;VLOOKUP(J$5,NFI,5,0),1,0)*Data_NFI_t[[#This Row],[NFI Core Kit]],0)</f>
        <v>0</v>
      </c>
      <c r="V33" s="131">
        <f>IF(NFI_Expiration=1,IF($A33&lt;VLOOKUP(K$5,NFI,5,0),1,0)*Data_NFI_t[[#This Row],[Sanitary Kit]],0)</f>
        <v>0</v>
      </c>
      <c r="W33" s="131">
        <f>IF(NFI_Expiration=1,IF($A33&lt;VLOOKUP(L$5,NFI,5,0),1,0)*Data_NFI_t[[#This Row],[Mosquito net]],0)</f>
        <v>0</v>
      </c>
      <c r="X33" s="131">
        <f>IF(NFI_Expiration=1,IF($A33&lt;VLOOKUP(M$5,NFI,5,0),1,0)*Data_NFI_t[[#This Row],[Tarpaulin]],0)</f>
        <v>86</v>
      </c>
      <c r="Y33" s="131">
        <f>IF(NFI_Expiration=1,IF($A33&lt;VLOOKUP(N$5,NFI,5,0),1,0)*Data_NFI_t[[#This Row],[Blanket]],0)</f>
        <v>0</v>
      </c>
      <c r="Z33" s="131">
        <f>IF(NFI_Expiration=1,IF($A33&lt;VLOOKUP(O$5,NFI,5,0),1,0)*Data_NFI_t[[#This Row],[Kitchen Set]],0)</f>
        <v>0</v>
      </c>
      <c r="AA33" s="131">
        <f>IF(NFI_Expiration=1,IF($A33&lt;VLOOKUP(P$5,NFI,5,0),1,0)*Data_NFI_t[[#This Row],[Complementary Kit]],0)</f>
        <v>0</v>
      </c>
      <c r="AB33" s="131">
        <f>IF(NFI_Expiration=1,IF($A33&lt;VLOOKUP(Q$5,NFI,5,0),1,0)*Data_NFI_t[[#This Row],[Plastic Bucket]],0)</f>
        <v>0</v>
      </c>
      <c r="AC33" s="131">
        <f>IF(NFI_Expiration=1,IF($A33&lt;VLOOKUP(R$5,NFI,5,0),1,0)*Data_NFI_t[[#This Row],[Jerry Can]],0)</f>
        <v>0</v>
      </c>
      <c r="AD33" s="150">
        <f>IF(NFI_Expiration=1,IF($A33&lt;VLOOKUP(S$5,NFI,5,0),1,0)*Data_NFI_t[[#This Row],[Plastic Mat]],0)*IF(Data_NFI_t[[#This Row],[Distribution Date]]&gt;"01-04-2014",1,2.5)</f>
        <v>0</v>
      </c>
      <c r="AE33" s="150" t="str">
        <f ca="1">IFERROR(OFFSET(Camp_List[P_Code],MATCH(Data_NFI_t[[#This Row],[Camp Name]],Camp_List[Camp Name],0)-1,0,1,1),"")</f>
        <v>MMR012CMP006</v>
      </c>
      <c r="AF33" s="714" t="str">
        <f ca="1">IFERROR(OFFSET(Camp_List[Status],MATCH(Data_NFI_t[[#This Row],[Camp Name]],Camp_List[Camp Name],0)-1,0,1,1),"")</f>
        <v>Open</v>
      </c>
    </row>
    <row r="34" spans="1:32" s="102" customFormat="1" ht="15" customHeight="1" x14ac:dyDescent="0.25">
      <c r="A34" s="265">
        <f t="shared" si="0"/>
        <v>5.7666666666666666</v>
      </c>
      <c r="B34" s="265">
        <f>YEAR(Data_NFI_t[[#This Row],[Distribution Date]])</f>
        <v>2015</v>
      </c>
      <c r="C34" s="738">
        <v>42166</v>
      </c>
      <c r="D34" s="655" t="s">
        <v>288</v>
      </c>
      <c r="E34" s="654" t="s">
        <v>288</v>
      </c>
      <c r="F34" s="655" t="s">
        <v>7</v>
      </c>
      <c r="G34" s="31" t="s">
        <v>11</v>
      </c>
      <c r="H34" s="31" t="s">
        <v>32</v>
      </c>
      <c r="I34" s="31"/>
      <c r="J34" s="61"/>
      <c r="K34" s="61"/>
      <c r="L34" s="61"/>
      <c r="M34" s="61">
        <v>225</v>
      </c>
      <c r="N34" s="61"/>
      <c r="O34" s="61"/>
      <c r="P34" s="61"/>
      <c r="Q34" s="61"/>
      <c r="R34" s="708"/>
      <c r="S34" s="61"/>
      <c r="T34" s="150">
        <f>IF(NFI_Expiration=1,IF($A34&lt;VLOOKUP(I$5,NFI,5,0),1,0)*Data_NFI_t[[#This Row],[Hygiene Kit]],0)</f>
        <v>0</v>
      </c>
      <c r="U34" s="150">
        <f>IF(NFI_Expiration=1,IF($A34&lt;VLOOKUP(J$5,NFI,5,0),1,0)*Data_NFI_t[[#This Row],[NFI Core Kit]],0)</f>
        <v>0</v>
      </c>
      <c r="V34" s="131">
        <f>IF(NFI_Expiration=1,IF($A34&lt;VLOOKUP(K$5,NFI,5,0),1,0)*Data_NFI_t[[#This Row],[Sanitary Kit]],0)</f>
        <v>0</v>
      </c>
      <c r="W34" s="131">
        <f>IF(NFI_Expiration=1,IF($A34&lt;VLOOKUP(L$5,NFI,5,0),1,0)*Data_NFI_t[[#This Row],[Mosquito net]],0)</f>
        <v>0</v>
      </c>
      <c r="X34" s="131">
        <f>IF(NFI_Expiration=1,IF($A34&lt;VLOOKUP(M$5,NFI,5,0),1,0)*Data_NFI_t[[#This Row],[Tarpaulin]],0)</f>
        <v>225</v>
      </c>
      <c r="Y34" s="131">
        <f>IF(NFI_Expiration=1,IF($A34&lt;VLOOKUP(N$5,NFI,5,0),1,0)*Data_NFI_t[[#This Row],[Blanket]],0)</f>
        <v>0</v>
      </c>
      <c r="Z34" s="131">
        <f>IF(NFI_Expiration=1,IF($A34&lt;VLOOKUP(O$5,NFI,5,0),1,0)*Data_NFI_t[[#This Row],[Kitchen Set]],0)</f>
        <v>0</v>
      </c>
      <c r="AA34" s="131">
        <f>IF(NFI_Expiration=1,IF($A34&lt;VLOOKUP(P$5,NFI,5,0),1,0)*Data_NFI_t[[#This Row],[Complementary Kit]],0)</f>
        <v>0</v>
      </c>
      <c r="AB34" s="131">
        <f>IF(NFI_Expiration=1,IF($A34&lt;VLOOKUP(Q$5,NFI,5,0),1,0)*Data_NFI_t[[#This Row],[Plastic Bucket]],0)</f>
        <v>0</v>
      </c>
      <c r="AC34" s="131">
        <f>IF(NFI_Expiration=1,IF($A34&lt;VLOOKUP(R$5,NFI,5,0),1,0)*Data_NFI_t[[#This Row],[Jerry Can]],0)</f>
        <v>0</v>
      </c>
      <c r="AD34" s="150">
        <f>IF(NFI_Expiration=1,IF($A34&lt;VLOOKUP(S$5,NFI,5,0),1,0)*Data_NFI_t[[#This Row],[Plastic Mat]],0)*IF(Data_NFI_t[[#This Row],[Distribution Date]]&gt;"01-04-2014",1,2.5)</f>
        <v>0</v>
      </c>
      <c r="AE34" s="150" t="str">
        <f ca="1">IFERROR(OFFSET(Camp_List[P_Code],MATCH(Data_NFI_t[[#This Row],[Camp Name]],Camp_List[Camp Name],0)-1,0,1,1),"")</f>
        <v>MMR012CMP008</v>
      </c>
      <c r="AF34" s="714" t="str">
        <f ca="1">IFERROR(OFFSET(Camp_List[Status],MATCH(Data_NFI_t[[#This Row],[Camp Name]],Camp_List[Camp Name],0)-1,0,1,1),"")</f>
        <v>Open</v>
      </c>
    </row>
    <row r="35" spans="1:32" s="102" customFormat="1" ht="15" customHeight="1" x14ac:dyDescent="0.25">
      <c r="A35" s="265">
        <f t="shared" si="0"/>
        <v>5.8</v>
      </c>
      <c r="B35" s="265">
        <f>YEAR(Data_NFI_t[[#This Row],[Distribution Date]])</f>
        <v>2015</v>
      </c>
      <c r="C35" s="738">
        <v>42165</v>
      </c>
      <c r="D35" s="655" t="s">
        <v>288</v>
      </c>
      <c r="E35" s="654" t="s">
        <v>288</v>
      </c>
      <c r="F35" s="655" t="s">
        <v>7</v>
      </c>
      <c r="G35" s="31" t="s">
        <v>12</v>
      </c>
      <c r="H35" s="31" t="s">
        <v>33</v>
      </c>
      <c r="I35" s="31"/>
      <c r="J35" s="61"/>
      <c r="K35" s="61"/>
      <c r="L35" s="61"/>
      <c r="M35" s="61">
        <v>56</v>
      </c>
      <c r="N35" s="61"/>
      <c r="O35" s="61"/>
      <c r="P35" s="61"/>
      <c r="Q35" s="61"/>
      <c r="R35" s="708"/>
      <c r="S35" s="61"/>
      <c r="T35" s="150">
        <f>IF(NFI_Expiration=1,IF($A35&lt;VLOOKUP(I$5,NFI,5,0),1,0)*Data_NFI_t[[#This Row],[Hygiene Kit]],0)</f>
        <v>0</v>
      </c>
      <c r="U35" s="150">
        <f>IF(NFI_Expiration=1,IF($A35&lt;VLOOKUP(J$5,NFI,5,0),1,0)*Data_NFI_t[[#This Row],[NFI Core Kit]],0)</f>
        <v>0</v>
      </c>
      <c r="V35" s="131">
        <f>IF(NFI_Expiration=1,IF($A35&lt;VLOOKUP(K$5,NFI,5,0),1,0)*Data_NFI_t[[#This Row],[Sanitary Kit]],0)</f>
        <v>0</v>
      </c>
      <c r="W35" s="131">
        <f>IF(NFI_Expiration=1,IF($A35&lt;VLOOKUP(L$5,NFI,5,0),1,0)*Data_NFI_t[[#This Row],[Mosquito net]],0)</f>
        <v>0</v>
      </c>
      <c r="X35" s="131">
        <f>IF(NFI_Expiration=1,IF($A35&lt;VLOOKUP(M$5,NFI,5,0),1,0)*Data_NFI_t[[#This Row],[Tarpaulin]],0)</f>
        <v>56</v>
      </c>
      <c r="Y35" s="131">
        <f>IF(NFI_Expiration=1,IF($A35&lt;VLOOKUP(N$5,NFI,5,0),1,0)*Data_NFI_t[[#This Row],[Blanket]],0)</f>
        <v>0</v>
      </c>
      <c r="Z35" s="131">
        <f>IF(NFI_Expiration=1,IF($A35&lt;VLOOKUP(O$5,NFI,5,0),1,0)*Data_NFI_t[[#This Row],[Kitchen Set]],0)</f>
        <v>0</v>
      </c>
      <c r="AA35" s="131">
        <f>IF(NFI_Expiration=1,IF($A35&lt;VLOOKUP(P$5,NFI,5,0),1,0)*Data_NFI_t[[#This Row],[Complementary Kit]],0)</f>
        <v>0</v>
      </c>
      <c r="AB35" s="131">
        <f>IF(NFI_Expiration=1,IF($A35&lt;VLOOKUP(Q$5,NFI,5,0),1,0)*Data_NFI_t[[#This Row],[Plastic Bucket]],0)</f>
        <v>0</v>
      </c>
      <c r="AC35" s="131">
        <f>IF(NFI_Expiration=1,IF($A35&lt;VLOOKUP(R$5,NFI,5,0),1,0)*Data_NFI_t[[#This Row],[Jerry Can]],0)</f>
        <v>0</v>
      </c>
      <c r="AD35" s="150">
        <f>IF(NFI_Expiration=1,IF($A35&lt;VLOOKUP(S$5,NFI,5,0),1,0)*Data_NFI_t[[#This Row],[Plastic Mat]],0)*IF(Data_NFI_t[[#This Row],[Distribution Date]]&gt;"01-04-2014",1,2.5)</f>
        <v>0</v>
      </c>
      <c r="AE35" s="150" t="str">
        <f ca="1">IFERROR(OFFSET(Camp_List[P_Code],MATCH(Data_NFI_t[[#This Row],[Camp Name]],Camp_List[Camp Name],0)-1,0,1,1),"")</f>
        <v>MMR012CMP009</v>
      </c>
      <c r="AF35" s="714" t="str">
        <f ca="1">IFERROR(OFFSET(Camp_List[Status],MATCH(Data_NFI_t[[#This Row],[Camp Name]],Camp_List[Camp Name],0)-1,0,1,1),"")</f>
        <v>Open</v>
      </c>
    </row>
    <row r="36" spans="1:32" s="102" customFormat="1" ht="15" customHeight="1" x14ac:dyDescent="0.25">
      <c r="A36" s="265">
        <f t="shared" si="0"/>
        <v>5.8</v>
      </c>
      <c r="B36" s="265">
        <f>YEAR(Data_NFI_t[[#This Row],[Distribution Date]])</f>
        <v>2015</v>
      </c>
      <c r="C36" s="738">
        <v>42165</v>
      </c>
      <c r="D36" s="655" t="s">
        <v>288</v>
      </c>
      <c r="E36" s="654" t="s">
        <v>288</v>
      </c>
      <c r="F36" s="655" t="s">
        <v>7</v>
      </c>
      <c r="G36" s="31" t="s">
        <v>12</v>
      </c>
      <c r="H36" s="31" t="s">
        <v>34</v>
      </c>
      <c r="I36" s="31"/>
      <c r="J36" s="61"/>
      <c r="K36" s="61"/>
      <c r="L36" s="61"/>
      <c r="M36" s="61">
        <v>55</v>
      </c>
      <c r="N36" s="61"/>
      <c r="O36" s="61"/>
      <c r="P36" s="61"/>
      <c r="Q36" s="61"/>
      <c r="R36" s="708"/>
      <c r="S36" s="61"/>
      <c r="T36" s="150">
        <f>IF(NFI_Expiration=1,IF($A36&lt;VLOOKUP(I$5,NFI,5,0),1,0)*Data_NFI_t[[#This Row],[Hygiene Kit]],0)</f>
        <v>0</v>
      </c>
      <c r="U36" s="150">
        <f>IF(NFI_Expiration=1,IF($A36&lt;VLOOKUP(J$5,NFI,5,0),1,0)*Data_NFI_t[[#This Row],[NFI Core Kit]],0)</f>
        <v>0</v>
      </c>
      <c r="V36" s="131">
        <f>IF(NFI_Expiration=1,IF($A36&lt;VLOOKUP(K$5,NFI,5,0),1,0)*Data_NFI_t[[#This Row],[Sanitary Kit]],0)</f>
        <v>0</v>
      </c>
      <c r="W36" s="131">
        <f>IF(NFI_Expiration=1,IF($A36&lt;VLOOKUP(L$5,NFI,5,0),1,0)*Data_NFI_t[[#This Row],[Mosquito net]],0)</f>
        <v>0</v>
      </c>
      <c r="X36" s="131">
        <f>IF(NFI_Expiration=1,IF($A36&lt;VLOOKUP(M$5,NFI,5,0),1,0)*Data_NFI_t[[#This Row],[Tarpaulin]],0)</f>
        <v>55</v>
      </c>
      <c r="Y36" s="131">
        <f>IF(NFI_Expiration=1,IF($A36&lt;VLOOKUP(N$5,NFI,5,0),1,0)*Data_NFI_t[[#This Row],[Blanket]],0)</f>
        <v>0</v>
      </c>
      <c r="Z36" s="131">
        <f>IF(NFI_Expiration=1,IF($A36&lt;VLOOKUP(O$5,NFI,5,0),1,0)*Data_NFI_t[[#This Row],[Kitchen Set]],0)</f>
        <v>0</v>
      </c>
      <c r="AA36" s="131">
        <f>IF(NFI_Expiration=1,IF($A36&lt;VLOOKUP(P$5,NFI,5,0),1,0)*Data_NFI_t[[#This Row],[Complementary Kit]],0)</f>
        <v>0</v>
      </c>
      <c r="AB36" s="131">
        <f>IF(NFI_Expiration=1,IF($A36&lt;VLOOKUP(Q$5,NFI,5,0),1,0)*Data_NFI_t[[#This Row],[Plastic Bucket]],0)</f>
        <v>0</v>
      </c>
      <c r="AC36" s="131">
        <f>IF(NFI_Expiration=1,IF($A36&lt;VLOOKUP(R$5,NFI,5,0),1,0)*Data_NFI_t[[#This Row],[Jerry Can]],0)</f>
        <v>0</v>
      </c>
      <c r="AD36" s="150">
        <f>IF(NFI_Expiration=1,IF($A36&lt;VLOOKUP(S$5,NFI,5,0),1,0)*Data_NFI_t[[#This Row],[Plastic Mat]],0)*IF(Data_NFI_t[[#This Row],[Distribution Date]]&gt;"01-04-2014",1,2.5)</f>
        <v>0</v>
      </c>
      <c r="AE36" s="150" t="str">
        <f ca="1">IFERROR(OFFSET(Camp_List[P_Code],MATCH(Data_NFI_t[[#This Row],[Camp Name]],Camp_List[Camp Name],0)-1,0,1,1),"")</f>
        <v>MMR012CMP010</v>
      </c>
      <c r="AF36" s="714" t="str">
        <f ca="1">IFERROR(OFFSET(Camp_List[Status],MATCH(Data_NFI_t[[#This Row],[Camp Name]],Camp_List[Camp Name],0)-1,0,1,1),"")</f>
        <v>Open</v>
      </c>
    </row>
    <row r="37" spans="1:32" s="102" customFormat="1" ht="15" customHeight="1" x14ac:dyDescent="0.25">
      <c r="A37" s="265">
        <f t="shared" si="0"/>
        <v>5.8</v>
      </c>
      <c r="B37" s="265">
        <f>YEAR(Data_NFI_t[[#This Row],[Distribution Date]])</f>
        <v>2015</v>
      </c>
      <c r="C37" s="738">
        <v>42165</v>
      </c>
      <c r="D37" s="655" t="s">
        <v>288</v>
      </c>
      <c r="E37" s="654" t="s">
        <v>288</v>
      </c>
      <c r="F37" s="655" t="s">
        <v>7</v>
      </c>
      <c r="G37" s="31" t="s">
        <v>11</v>
      </c>
      <c r="H37" s="31" t="s">
        <v>29</v>
      </c>
      <c r="I37" s="31"/>
      <c r="J37" s="61"/>
      <c r="K37" s="61"/>
      <c r="L37" s="61"/>
      <c r="M37" s="61">
        <v>275</v>
      </c>
      <c r="N37" s="61"/>
      <c r="O37" s="61"/>
      <c r="P37" s="61"/>
      <c r="Q37" s="61"/>
      <c r="R37" s="708"/>
      <c r="S37" s="61"/>
      <c r="T37" s="150">
        <f>IF(NFI_Expiration=1,IF($A37&lt;VLOOKUP(I$5,NFI,5,0),1,0)*Data_NFI_t[[#This Row],[Hygiene Kit]],0)</f>
        <v>0</v>
      </c>
      <c r="U37" s="150">
        <f>IF(NFI_Expiration=1,IF($A37&lt;VLOOKUP(J$5,NFI,5,0),1,0)*Data_NFI_t[[#This Row],[NFI Core Kit]],0)</f>
        <v>0</v>
      </c>
      <c r="V37" s="131">
        <f>IF(NFI_Expiration=1,IF($A37&lt;VLOOKUP(K$5,NFI,5,0),1,0)*Data_NFI_t[[#This Row],[Sanitary Kit]],0)</f>
        <v>0</v>
      </c>
      <c r="W37" s="131">
        <f>IF(NFI_Expiration=1,IF($A37&lt;VLOOKUP(L$5,NFI,5,0),1,0)*Data_NFI_t[[#This Row],[Mosquito net]],0)</f>
        <v>0</v>
      </c>
      <c r="X37" s="131">
        <f>IF(NFI_Expiration=1,IF($A37&lt;VLOOKUP(M$5,NFI,5,0),1,0)*Data_NFI_t[[#This Row],[Tarpaulin]],0)</f>
        <v>275</v>
      </c>
      <c r="Y37" s="131">
        <f>IF(NFI_Expiration=1,IF($A37&lt;VLOOKUP(N$5,NFI,5,0),1,0)*Data_NFI_t[[#This Row],[Blanket]],0)</f>
        <v>0</v>
      </c>
      <c r="Z37" s="131">
        <f>IF(NFI_Expiration=1,IF($A37&lt;VLOOKUP(O$5,NFI,5,0),1,0)*Data_NFI_t[[#This Row],[Kitchen Set]],0)</f>
        <v>0</v>
      </c>
      <c r="AA37" s="131">
        <f>IF(NFI_Expiration=1,IF($A37&lt;VLOOKUP(P$5,NFI,5,0),1,0)*Data_NFI_t[[#This Row],[Complementary Kit]],0)</f>
        <v>0</v>
      </c>
      <c r="AB37" s="131">
        <f>IF(NFI_Expiration=1,IF($A37&lt;VLOOKUP(Q$5,NFI,5,0),1,0)*Data_NFI_t[[#This Row],[Plastic Bucket]],0)</f>
        <v>0</v>
      </c>
      <c r="AC37" s="131">
        <f>IF(NFI_Expiration=1,IF($A37&lt;VLOOKUP(R$5,NFI,5,0),1,0)*Data_NFI_t[[#This Row],[Jerry Can]],0)</f>
        <v>0</v>
      </c>
      <c r="AD37" s="150">
        <f>IF(NFI_Expiration=1,IF($A37&lt;VLOOKUP(S$5,NFI,5,0),1,0)*Data_NFI_t[[#This Row],[Plastic Mat]],0)*IF(Data_NFI_t[[#This Row],[Distribution Date]]&gt;"01-04-2014",1,2.5)</f>
        <v>0</v>
      </c>
      <c r="AE37" s="150" t="str">
        <f ca="1">IFERROR(OFFSET(Camp_List[P_Code],MATCH(Data_NFI_t[[#This Row],[Camp Name]],Camp_List[Camp Name],0)-1,0,1,1),"")</f>
        <v>MMR012CMP005</v>
      </c>
      <c r="AF37" s="714" t="str">
        <f ca="1">IFERROR(OFFSET(Camp_List[Status],MATCH(Data_NFI_t[[#This Row],[Camp Name]],Camp_List[Camp Name],0)-1,0,1,1),"")</f>
        <v>Open</v>
      </c>
    </row>
    <row r="38" spans="1:32" s="102" customFormat="1" ht="15" customHeight="1" x14ac:dyDescent="0.25">
      <c r="A38" s="265">
        <f t="shared" si="0"/>
        <v>6.5</v>
      </c>
      <c r="B38" s="265">
        <f>YEAR(Data_NFI_t[[#This Row],[Distribution Date]])</f>
        <v>2015</v>
      </c>
      <c r="C38" s="738">
        <v>42144</v>
      </c>
      <c r="D38" s="655" t="s">
        <v>288</v>
      </c>
      <c r="E38" s="654" t="s">
        <v>291</v>
      </c>
      <c r="F38" s="655" t="s">
        <v>7</v>
      </c>
      <c r="G38" s="31" t="s">
        <v>19</v>
      </c>
      <c r="H38" s="31" t="s">
        <v>654</v>
      </c>
      <c r="I38" s="31">
        <v>0</v>
      </c>
      <c r="J38" s="61">
        <v>140</v>
      </c>
      <c r="K38" s="61">
        <v>0</v>
      </c>
      <c r="L38" s="61">
        <v>1298</v>
      </c>
      <c r="M38" s="61">
        <v>649</v>
      </c>
      <c r="N38" s="61">
        <v>1298</v>
      </c>
      <c r="O38" s="61">
        <v>649</v>
      </c>
      <c r="P38" s="61">
        <v>509</v>
      </c>
      <c r="Q38" s="61">
        <v>649</v>
      </c>
      <c r="R38" s="708">
        <v>649</v>
      </c>
      <c r="S38" s="61">
        <v>3245</v>
      </c>
      <c r="T38" s="150">
        <f>IF(NFI_Expiration=1,IF($A38&lt;VLOOKUP(I$5,NFI,5,0),1,0)*Data_NFI_t[[#This Row],[Hygiene Kit]],0)</f>
        <v>0</v>
      </c>
      <c r="U38" s="150">
        <f>IF(NFI_Expiration=1,IF($A38&lt;VLOOKUP(J$5,NFI,5,0),1,0)*Data_NFI_t[[#This Row],[NFI Core Kit]],0)</f>
        <v>140</v>
      </c>
      <c r="V38" s="131">
        <f>IF(NFI_Expiration=1,IF($A38&lt;VLOOKUP(K$5,NFI,5,0),1,0)*Data_NFI_t[[#This Row],[Sanitary Kit]],0)</f>
        <v>0</v>
      </c>
      <c r="W38" s="131">
        <f>IF(NFI_Expiration=1,IF($A38&lt;VLOOKUP(L$5,NFI,5,0),1,0)*Data_NFI_t[[#This Row],[Mosquito net]],0)</f>
        <v>1298</v>
      </c>
      <c r="X38" s="131">
        <f>IF(NFI_Expiration=1,IF($A38&lt;VLOOKUP(M$5,NFI,5,0),1,0)*Data_NFI_t[[#This Row],[Tarpaulin]],0)</f>
        <v>649</v>
      </c>
      <c r="Y38" s="131">
        <f>IF(NFI_Expiration=1,IF($A38&lt;VLOOKUP(N$5,NFI,5,0),1,0)*Data_NFI_t[[#This Row],[Blanket]],0)</f>
        <v>1298</v>
      </c>
      <c r="Z38" s="131">
        <f>IF(NFI_Expiration=1,IF($A38&lt;VLOOKUP(O$5,NFI,5,0),1,0)*Data_NFI_t[[#This Row],[Kitchen Set]],0)</f>
        <v>649</v>
      </c>
      <c r="AA38" s="131">
        <f>IF(NFI_Expiration=1,IF($A38&lt;VLOOKUP(P$5,NFI,5,0),1,0)*Data_NFI_t[[#This Row],[Complementary Kit]],0)</f>
        <v>509</v>
      </c>
      <c r="AB38" s="131">
        <f>IF(NFI_Expiration=1,IF($A38&lt;VLOOKUP(Q$5,NFI,5,0),1,0)*Data_NFI_t[[#This Row],[Plastic Bucket]],0)</f>
        <v>649</v>
      </c>
      <c r="AC38" s="131">
        <f>IF(NFI_Expiration=1,IF($A38&lt;VLOOKUP(R$5,NFI,5,0),1,0)*Data_NFI_t[[#This Row],[Jerry Can]],0)</f>
        <v>649</v>
      </c>
      <c r="AD38" s="150">
        <f>IF(NFI_Expiration=1,IF($A38&lt;VLOOKUP(S$5,NFI,5,0),1,0)*Data_NFI_t[[#This Row],[Plastic Mat]],0)*IF(Data_NFI_t[[#This Row],[Distribution Date]]&gt;"01-04-2014",1,2.5)</f>
        <v>8112.5</v>
      </c>
      <c r="AE38" s="150" t="str">
        <f ca="1">IFERROR(OFFSET(Camp_List[P_Code],MATCH(Data_NFI_t[[#This Row],[Camp Name]],Camp_List[Camp Name],0)-1,0,1,1),"")</f>
        <v>MMR012CMP098</v>
      </c>
      <c r="AF38" s="714" t="str">
        <f ca="1">IFERROR(OFFSET(Camp_List[Status],MATCH(Data_NFI_t[[#This Row],[Camp Name]],Camp_List[Camp Name],0)-1,0,1,1),"")</f>
        <v>Open</v>
      </c>
    </row>
    <row r="39" spans="1:32" s="102" customFormat="1" ht="15" customHeight="1" x14ac:dyDescent="0.25">
      <c r="A39" s="265">
        <f t="shared" si="0"/>
        <v>6.7666666666666666</v>
      </c>
      <c r="B39" s="265">
        <f>YEAR(Data_NFI_t[[#This Row],[Distribution Date]])</f>
        <v>2015</v>
      </c>
      <c r="C39" s="738">
        <v>42136</v>
      </c>
      <c r="D39" s="655" t="s">
        <v>288</v>
      </c>
      <c r="E39" s="654" t="s">
        <v>526</v>
      </c>
      <c r="F39" s="655" t="s">
        <v>7</v>
      </c>
      <c r="G39" s="31" t="s">
        <v>19</v>
      </c>
      <c r="H39" s="31" t="s">
        <v>659</v>
      </c>
      <c r="I39" s="31">
        <v>0</v>
      </c>
      <c r="J39" s="61"/>
      <c r="K39" s="61">
        <v>0</v>
      </c>
      <c r="L39" s="61">
        <v>498</v>
      </c>
      <c r="M39" s="61">
        <v>249</v>
      </c>
      <c r="N39" s="61">
        <v>498</v>
      </c>
      <c r="O39" s="61">
        <v>249</v>
      </c>
      <c r="P39" s="61">
        <v>0</v>
      </c>
      <c r="Q39" s="61">
        <v>249</v>
      </c>
      <c r="R39" s="708">
        <v>249</v>
      </c>
      <c r="S39" s="61">
        <v>1245</v>
      </c>
      <c r="T39" s="150">
        <f>IF(NFI_Expiration=1,IF($A39&lt;VLOOKUP(I$5,NFI,5,0),1,0)*Data_NFI_t[[#This Row],[Hygiene Kit]],0)</f>
        <v>0</v>
      </c>
      <c r="U39" s="150">
        <f>IF(NFI_Expiration=1,IF($A39&lt;VLOOKUP(J$5,NFI,5,0),1,0)*Data_NFI_t[[#This Row],[NFI Core Kit]],0)</f>
        <v>0</v>
      </c>
      <c r="V39" s="131">
        <f>IF(NFI_Expiration=1,IF($A39&lt;VLOOKUP(K$5,NFI,5,0),1,0)*Data_NFI_t[[#This Row],[Sanitary Kit]],0)</f>
        <v>0</v>
      </c>
      <c r="W39" s="131">
        <f>IF(NFI_Expiration=1,IF($A39&lt;VLOOKUP(L$5,NFI,5,0),1,0)*Data_NFI_t[[#This Row],[Mosquito net]],0)</f>
        <v>498</v>
      </c>
      <c r="X39" s="131">
        <f>IF(NFI_Expiration=1,IF($A39&lt;VLOOKUP(M$5,NFI,5,0),1,0)*Data_NFI_t[[#This Row],[Tarpaulin]],0)</f>
        <v>249</v>
      </c>
      <c r="Y39" s="131">
        <f>IF(NFI_Expiration=1,IF($A39&lt;VLOOKUP(N$5,NFI,5,0),1,0)*Data_NFI_t[[#This Row],[Blanket]],0)</f>
        <v>498</v>
      </c>
      <c r="Z39" s="131">
        <f>IF(NFI_Expiration=1,IF($A39&lt;VLOOKUP(O$5,NFI,5,0),1,0)*Data_NFI_t[[#This Row],[Kitchen Set]],0)</f>
        <v>249</v>
      </c>
      <c r="AA39" s="131">
        <f>IF(NFI_Expiration=1,IF($A39&lt;VLOOKUP(P$5,NFI,5,0),1,0)*Data_NFI_t[[#This Row],[Complementary Kit]],0)</f>
        <v>0</v>
      </c>
      <c r="AB39" s="131">
        <f>IF(NFI_Expiration=1,IF($A39&lt;VLOOKUP(Q$5,NFI,5,0),1,0)*Data_NFI_t[[#This Row],[Plastic Bucket]],0)</f>
        <v>249</v>
      </c>
      <c r="AC39" s="131">
        <f>IF(NFI_Expiration=1,IF($A39&lt;VLOOKUP(R$5,NFI,5,0),1,0)*Data_NFI_t[[#This Row],[Jerry Can]],0)</f>
        <v>249</v>
      </c>
      <c r="AD39" s="150">
        <f>IF(NFI_Expiration=1,IF($A39&lt;VLOOKUP(S$5,NFI,5,0),1,0)*Data_NFI_t[[#This Row],[Plastic Mat]],0)*IF(Data_NFI_t[[#This Row],[Distribution Date]]&gt;"01-04-2014",1,2.5)</f>
        <v>3112.5</v>
      </c>
      <c r="AE39" s="150" t="str">
        <f ca="1">IFERROR(OFFSET(Camp_List[P_Code],MATCH(Data_NFI_t[[#This Row],[Camp Name]],Camp_List[Camp Name],0)-1,0,1,1),"")</f>
        <v>MMR012CMP111</v>
      </c>
      <c r="AF39" s="714" t="str">
        <f ca="1">IFERROR(OFFSET(Camp_List[Status],MATCH(Data_NFI_t[[#This Row],[Camp Name]],Camp_List[Camp Name],0)-1,0,1,1),"")</f>
        <v>Open</v>
      </c>
    </row>
    <row r="40" spans="1:32" s="102" customFormat="1" ht="15" customHeight="1" x14ac:dyDescent="0.25">
      <c r="A40" s="265">
        <f t="shared" si="0"/>
        <v>6.9333333333333336</v>
      </c>
      <c r="B40" s="265">
        <f>YEAR(Data_NFI_t[[#This Row],[Distribution Date]])</f>
        <v>2015</v>
      </c>
      <c r="C40" s="738">
        <v>42131</v>
      </c>
      <c r="D40" s="655" t="s">
        <v>288</v>
      </c>
      <c r="E40" s="654" t="s">
        <v>643</v>
      </c>
      <c r="F40" s="655" t="s">
        <v>7</v>
      </c>
      <c r="G40" s="31" t="s">
        <v>19</v>
      </c>
      <c r="H40" s="31" t="s">
        <v>68</v>
      </c>
      <c r="I40" s="31"/>
      <c r="J40" s="61">
        <v>2145</v>
      </c>
      <c r="K40" s="61"/>
      <c r="L40" s="61">
        <v>4290</v>
      </c>
      <c r="M40" s="61">
        <v>2145</v>
      </c>
      <c r="N40" s="61">
        <v>4290</v>
      </c>
      <c r="O40" s="61">
        <v>2145</v>
      </c>
      <c r="P40" s="61"/>
      <c r="Q40" s="61">
        <v>2145</v>
      </c>
      <c r="R40" s="708">
        <v>2145</v>
      </c>
      <c r="S40" s="61">
        <v>10725</v>
      </c>
      <c r="T40" s="150">
        <f>IF(NFI_Expiration=1,IF($A40&lt;VLOOKUP(I$5,NFI,5,0),1,0)*Data_NFI_t[[#This Row],[Hygiene Kit]],0)</f>
        <v>0</v>
      </c>
      <c r="U40" s="150">
        <f>IF(NFI_Expiration=1,IF($A40&lt;VLOOKUP(J$5,NFI,5,0),1,0)*Data_NFI_t[[#This Row],[NFI Core Kit]],0)</f>
        <v>2145</v>
      </c>
      <c r="V40" s="131">
        <f>IF(NFI_Expiration=1,IF($A40&lt;VLOOKUP(K$5,NFI,5,0),1,0)*Data_NFI_t[[#This Row],[Sanitary Kit]],0)</f>
        <v>0</v>
      </c>
      <c r="W40" s="131">
        <f>IF(NFI_Expiration=1,IF($A40&lt;VLOOKUP(L$5,NFI,5,0),1,0)*Data_NFI_t[[#This Row],[Mosquito net]],0)</f>
        <v>4290</v>
      </c>
      <c r="X40" s="131">
        <f>IF(NFI_Expiration=1,IF($A40&lt;VLOOKUP(M$5,NFI,5,0),1,0)*Data_NFI_t[[#This Row],[Tarpaulin]],0)</f>
        <v>2145</v>
      </c>
      <c r="Y40" s="131">
        <f>IF(NFI_Expiration=1,IF($A40&lt;VLOOKUP(N$5,NFI,5,0),1,0)*Data_NFI_t[[#This Row],[Blanket]],0)</f>
        <v>4290</v>
      </c>
      <c r="Z40" s="131">
        <f>IF(NFI_Expiration=1,IF($A40&lt;VLOOKUP(O$5,NFI,5,0),1,0)*Data_NFI_t[[#This Row],[Kitchen Set]],0)</f>
        <v>2145</v>
      </c>
      <c r="AA40" s="131">
        <f>IF(NFI_Expiration=1,IF($A40&lt;VLOOKUP(P$5,NFI,5,0),1,0)*Data_NFI_t[[#This Row],[Complementary Kit]],0)</f>
        <v>0</v>
      </c>
      <c r="AB40" s="131">
        <f>IF(NFI_Expiration=1,IF($A40&lt;VLOOKUP(Q$5,NFI,5,0),1,0)*Data_NFI_t[[#This Row],[Plastic Bucket]],0)</f>
        <v>2145</v>
      </c>
      <c r="AC40" s="131">
        <f>IF(NFI_Expiration=1,IF($A40&lt;VLOOKUP(R$5,NFI,5,0),1,0)*Data_NFI_t[[#This Row],[Jerry Can]],0)</f>
        <v>2145</v>
      </c>
      <c r="AD40" s="150">
        <f>IF(NFI_Expiration=1,IF($A40&lt;VLOOKUP(S$5,NFI,5,0),1,0)*Data_NFI_t[[#This Row],[Plastic Mat]],0)*IF(Data_NFI_t[[#This Row],[Distribution Date]]&gt;"01-04-2014",1,2.5)</f>
        <v>26812.5</v>
      </c>
      <c r="AE40" s="150" t="str">
        <f ca="1">IFERROR(OFFSET(Camp_List[P_Code],MATCH(Data_NFI_t[[#This Row],[Camp Name]],Camp_List[Camp Name],0)-1,0,1,1),"")</f>
        <v>MMR012CMP046</v>
      </c>
      <c r="AF40" s="714" t="str">
        <f ca="1">IFERROR(OFFSET(Camp_List[Status],MATCH(Data_NFI_t[[#This Row],[Camp Name]],Camp_List[Camp Name],0)-1,0,1,1),"")</f>
        <v>Open</v>
      </c>
    </row>
    <row r="41" spans="1:32" s="102" customFormat="1" ht="15" customHeight="1" x14ac:dyDescent="0.25">
      <c r="A41" s="265">
        <f t="shared" si="0"/>
        <v>6.9666666666666668</v>
      </c>
      <c r="B41" s="265">
        <f>YEAR(Data_NFI_t[[#This Row],[Distribution Date]])</f>
        <v>2015</v>
      </c>
      <c r="C41" s="738">
        <v>42130</v>
      </c>
      <c r="D41" s="655" t="s">
        <v>291</v>
      </c>
      <c r="E41" s="654" t="s">
        <v>291</v>
      </c>
      <c r="F41" s="655" t="s">
        <v>7</v>
      </c>
      <c r="G41" s="31" t="s">
        <v>19</v>
      </c>
      <c r="H41" s="31" t="s">
        <v>63</v>
      </c>
      <c r="I41" s="31">
        <v>0</v>
      </c>
      <c r="J41" s="61">
        <v>1364</v>
      </c>
      <c r="K41" s="61">
        <v>0</v>
      </c>
      <c r="L41" s="61">
        <v>2728</v>
      </c>
      <c r="M41" s="61">
        <v>1364</v>
      </c>
      <c r="N41" s="61">
        <v>2728</v>
      </c>
      <c r="O41" s="61">
        <v>1364</v>
      </c>
      <c r="P41" s="61">
        <v>0</v>
      </c>
      <c r="Q41" s="61">
        <v>1364</v>
      </c>
      <c r="R41" s="708">
        <v>1364</v>
      </c>
      <c r="S41" s="61">
        <v>6820</v>
      </c>
      <c r="T41" s="150">
        <f>IF(NFI_Expiration=1,IF($A41&lt;VLOOKUP(I$5,NFI,5,0),1,0)*Data_NFI_t[[#This Row],[Hygiene Kit]],0)</f>
        <v>0</v>
      </c>
      <c r="U41" s="150">
        <f>IF(NFI_Expiration=1,IF($A41&lt;VLOOKUP(J$5,NFI,5,0),1,0)*Data_NFI_t[[#This Row],[NFI Core Kit]],0)</f>
        <v>1364</v>
      </c>
      <c r="V41" s="131">
        <f>IF(NFI_Expiration=1,IF($A41&lt;VLOOKUP(K$5,NFI,5,0),1,0)*Data_NFI_t[[#This Row],[Sanitary Kit]],0)</f>
        <v>0</v>
      </c>
      <c r="W41" s="131">
        <f>IF(NFI_Expiration=1,IF($A41&lt;VLOOKUP(L$5,NFI,5,0),1,0)*Data_NFI_t[[#This Row],[Mosquito net]],0)</f>
        <v>2728</v>
      </c>
      <c r="X41" s="131">
        <f>IF(NFI_Expiration=1,IF($A41&lt;VLOOKUP(M$5,NFI,5,0),1,0)*Data_NFI_t[[#This Row],[Tarpaulin]],0)</f>
        <v>1364</v>
      </c>
      <c r="Y41" s="131">
        <f>IF(NFI_Expiration=1,IF($A41&lt;VLOOKUP(N$5,NFI,5,0),1,0)*Data_NFI_t[[#This Row],[Blanket]],0)</f>
        <v>2728</v>
      </c>
      <c r="Z41" s="131">
        <f>IF(NFI_Expiration=1,IF($A41&lt;VLOOKUP(O$5,NFI,5,0),1,0)*Data_NFI_t[[#This Row],[Kitchen Set]],0)</f>
        <v>1364</v>
      </c>
      <c r="AA41" s="131">
        <f>IF(NFI_Expiration=1,IF($A41&lt;VLOOKUP(P$5,NFI,5,0),1,0)*Data_NFI_t[[#This Row],[Complementary Kit]],0)</f>
        <v>0</v>
      </c>
      <c r="AB41" s="131">
        <f>IF(NFI_Expiration=1,IF($A41&lt;VLOOKUP(Q$5,NFI,5,0),1,0)*Data_NFI_t[[#This Row],[Plastic Bucket]],0)</f>
        <v>1364</v>
      </c>
      <c r="AC41" s="131">
        <f>IF(NFI_Expiration=1,IF($A41&lt;VLOOKUP(R$5,NFI,5,0),1,0)*Data_NFI_t[[#This Row],[Jerry Can]],0)</f>
        <v>1364</v>
      </c>
      <c r="AD41" s="150">
        <f>IF(NFI_Expiration=1,IF($A41&lt;VLOOKUP(S$5,NFI,5,0),1,0)*Data_NFI_t[[#This Row],[Plastic Mat]],0)*IF(Data_NFI_t[[#This Row],[Distribution Date]]&gt;"01-04-2014",1,2.5)</f>
        <v>17050</v>
      </c>
      <c r="AE41" s="150" t="str">
        <f ca="1">IFERROR(OFFSET(Camp_List[P_Code],MATCH(Data_NFI_t[[#This Row],[Camp Name]],Camp_List[Camp Name],0)-1,0,1,1),"")</f>
        <v>MMR012CMP041</v>
      </c>
      <c r="AF41" s="714" t="str">
        <f ca="1">IFERROR(OFFSET(Camp_List[Status],MATCH(Data_NFI_t[[#This Row],[Camp Name]],Camp_List[Camp Name],0)-1,0,1,1),"")</f>
        <v>Open</v>
      </c>
    </row>
    <row r="42" spans="1:32" s="102" customFormat="1" ht="15" customHeight="1" x14ac:dyDescent="0.25">
      <c r="A42" s="265">
        <f t="shared" si="0"/>
        <v>7.2666666666666666</v>
      </c>
      <c r="B42" s="265">
        <f>YEAR(Data_NFI_t[[#This Row],[Distribution Date]])</f>
        <v>2015</v>
      </c>
      <c r="C42" s="738">
        <v>42121</v>
      </c>
      <c r="D42" s="655" t="s">
        <v>288</v>
      </c>
      <c r="E42" s="654" t="s">
        <v>288</v>
      </c>
      <c r="F42" s="655" t="s">
        <v>7</v>
      </c>
      <c r="G42" s="31" t="s">
        <v>19</v>
      </c>
      <c r="H42" s="31" t="s">
        <v>660</v>
      </c>
      <c r="I42" s="31">
        <v>0</v>
      </c>
      <c r="J42" s="61"/>
      <c r="K42" s="61">
        <v>0</v>
      </c>
      <c r="L42" s="61">
        <v>836</v>
      </c>
      <c r="M42" s="61">
        <v>418</v>
      </c>
      <c r="N42" s="61">
        <v>836</v>
      </c>
      <c r="O42" s="61">
        <v>418</v>
      </c>
      <c r="P42" s="61">
        <v>0</v>
      </c>
      <c r="Q42" s="61">
        <v>418</v>
      </c>
      <c r="R42" s="708">
        <v>418</v>
      </c>
      <c r="S42" s="61">
        <v>2090</v>
      </c>
      <c r="T42" s="150">
        <f>IF(NFI_Expiration=1,IF($A42&lt;VLOOKUP(I$5,NFI,5,0),1,0)*Data_NFI_t[[#This Row],[Hygiene Kit]],0)</f>
        <v>0</v>
      </c>
      <c r="U42" s="150">
        <f>IF(NFI_Expiration=1,IF($A42&lt;VLOOKUP(J$5,NFI,5,0),1,0)*Data_NFI_t[[#This Row],[NFI Core Kit]],0)</f>
        <v>0</v>
      </c>
      <c r="V42" s="131">
        <f>IF(NFI_Expiration=1,IF($A42&lt;VLOOKUP(K$5,NFI,5,0),1,0)*Data_NFI_t[[#This Row],[Sanitary Kit]],0)</f>
        <v>0</v>
      </c>
      <c r="W42" s="131">
        <f>IF(NFI_Expiration=1,IF($A42&lt;VLOOKUP(L$5,NFI,5,0),1,0)*Data_NFI_t[[#This Row],[Mosquito net]],0)</f>
        <v>836</v>
      </c>
      <c r="X42" s="131">
        <f>IF(NFI_Expiration=1,IF($A42&lt;VLOOKUP(M$5,NFI,5,0),1,0)*Data_NFI_t[[#This Row],[Tarpaulin]],0)</f>
        <v>418</v>
      </c>
      <c r="Y42" s="131">
        <f>IF(NFI_Expiration=1,IF($A42&lt;VLOOKUP(N$5,NFI,5,0),1,0)*Data_NFI_t[[#This Row],[Blanket]],0)</f>
        <v>836</v>
      </c>
      <c r="Z42" s="131">
        <f>IF(NFI_Expiration=1,IF($A42&lt;VLOOKUP(O$5,NFI,5,0),1,0)*Data_NFI_t[[#This Row],[Kitchen Set]],0)</f>
        <v>418</v>
      </c>
      <c r="AA42" s="131">
        <f>IF(NFI_Expiration=1,IF($A42&lt;VLOOKUP(P$5,NFI,5,0),1,0)*Data_NFI_t[[#This Row],[Complementary Kit]],0)</f>
        <v>0</v>
      </c>
      <c r="AB42" s="131">
        <f>IF(NFI_Expiration=1,IF($A42&lt;VLOOKUP(Q$5,NFI,5,0),1,0)*Data_NFI_t[[#This Row],[Plastic Bucket]],0)</f>
        <v>418</v>
      </c>
      <c r="AC42" s="131">
        <f>IF(NFI_Expiration=1,IF($A42&lt;VLOOKUP(R$5,NFI,5,0),1,0)*Data_NFI_t[[#This Row],[Jerry Can]],0)</f>
        <v>418</v>
      </c>
      <c r="AD42" s="150">
        <f>IF(NFI_Expiration=1,IF($A42&lt;VLOOKUP(S$5,NFI,5,0),1,0)*Data_NFI_t[[#This Row],[Plastic Mat]],0)*IF(Data_NFI_t[[#This Row],[Distribution Date]]&gt;"01-04-2014",1,2.5)</f>
        <v>5225</v>
      </c>
      <c r="AE42" s="150" t="str">
        <f ca="1">IFERROR(OFFSET(Camp_List[P_Code],MATCH(Data_NFI_t[[#This Row],[Camp Name]],Camp_List[Camp Name],0)-1,0,1,1),"")</f>
        <v>MMR012CMP112</v>
      </c>
      <c r="AF42" s="714" t="str">
        <f ca="1">IFERROR(OFFSET(Camp_List[Status],MATCH(Data_NFI_t[[#This Row],[Camp Name]],Camp_List[Camp Name],0)-1,0,1,1),"")</f>
        <v>Open</v>
      </c>
    </row>
    <row r="43" spans="1:32" s="102" customFormat="1" ht="15" customHeight="1" x14ac:dyDescent="0.25">
      <c r="A43" s="265">
        <f t="shared" si="0"/>
        <v>7.2666666666666666</v>
      </c>
      <c r="B43" s="265">
        <f>YEAR(Data_NFI_t[[#This Row],[Distribution Date]])</f>
        <v>2015</v>
      </c>
      <c r="C43" s="738">
        <v>42121</v>
      </c>
      <c r="D43" s="655" t="s">
        <v>288</v>
      </c>
      <c r="E43" s="654" t="s">
        <v>643</v>
      </c>
      <c r="F43" s="655" t="s">
        <v>7</v>
      </c>
      <c r="G43" s="31" t="s">
        <v>19</v>
      </c>
      <c r="H43" s="31" t="s">
        <v>78</v>
      </c>
      <c r="I43" s="31"/>
      <c r="J43" s="61">
        <v>72</v>
      </c>
      <c r="K43" s="61"/>
      <c r="L43" s="61">
        <v>144</v>
      </c>
      <c r="M43" s="61">
        <v>72</v>
      </c>
      <c r="N43" s="61">
        <v>144</v>
      </c>
      <c r="O43" s="61">
        <v>72</v>
      </c>
      <c r="P43" s="61"/>
      <c r="Q43" s="61">
        <v>72</v>
      </c>
      <c r="R43" s="708">
        <v>72</v>
      </c>
      <c r="S43" s="61">
        <v>360</v>
      </c>
      <c r="T43" s="150">
        <f>IF(NFI_Expiration=1,IF($A43&lt;VLOOKUP(I$5,NFI,5,0),1,0)*Data_NFI_t[[#This Row],[Hygiene Kit]],0)</f>
        <v>0</v>
      </c>
      <c r="U43" s="150">
        <f>IF(NFI_Expiration=1,IF($A43&lt;VLOOKUP(J$5,NFI,5,0),1,0)*Data_NFI_t[[#This Row],[NFI Core Kit]],0)</f>
        <v>72</v>
      </c>
      <c r="V43" s="131">
        <f>IF(NFI_Expiration=1,IF($A43&lt;VLOOKUP(K$5,NFI,5,0),1,0)*Data_NFI_t[[#This Row],[Sanitary Kit]],0)</f>
        <v>0</v>
      </c>
      <c r="W43" s="131">
        <f>IF(NFI_Expiration=1,IF($A43&lt;VLOOKUP(L$5,NFI,5,0),1,0)*Data_NFI_t[[#This Row],[Mosquito net]],0)</f>
        <v>144</v>
      </c>
      <c r="X43" s="131">
        <f>IF(NFI_Expiration=1,IF($A43&lt;VLOOKUP(M$5,NFI,5,0),1,0)*Data_NFI_t[[#This Row],[Tarpaulin]],0)</f>
        <v>72</v>
      </c>
      <c r="Y43" s="131">
        <f>IF(NFI_Expiration=1,IF($A43&lt;VLOOKUP(N$5,NFI,5,0),1,0)*Data_NFI_t[[#This Row],[Blanket]],0)</f>
        <v>144</v>
      </c>
      <c r="Z43" s="131">
        <f>IF(NFI_Expiration=1,IF($A43&lt;VLOOKUP(O$5,NFI,5,0),1,0)*Data_NFI_t[[#This Row],[Kitchen Set]],0)</f>
        <v>72</v>
      </c>
      <c r="AA43" s="131">
        <f>IF(NFI_Expiration=1,IF($A43&lt;VLOOKUP(P$5,NFI,5,0),1,0)*Data_NFI_t[[#This Row],[Complementary Kit]],0)</f>
        <v>0</v>
      </c>
      <c r="AB43" s="131">
        <f>IF(NFI_Expiration=1,IF($A43&lt;VLOOKUP(Q$5,NFI,5,0),1,0)*Data_NFI_t[[#This Row],[Plastic Bucket]],0)</f>
        <v>72</v>
      </c>
      <c r="AC43" s="131">
        <f>IF(NFI_Expiration=1,IF($A43&lt;VLOOKUP(R$5,NFI,5,0),1,0)*Data_NFI_t[[#This Row],[Jerry Can]],0)</f>
        <v>72</v>
      </c>
      <c r="AD43" s="150">
        <f>IF(NFI_Expiration=1,IF($A43&lt;VLOOKUP(S$5,NFI,5,0),1,0)*Data_NFI_t[[#This Row],[Plastic Mat]],0)*IF(Data_NFI_t[[#This Row],[Distribution Date]]&gt;"01-04-2014",1,2.5)</f>
        <v>900</v>
      </c>
      <c r="AE43" s="150" t="str">
        <f ca="1">IFERROR(OFFSET(Camp_List[P_Code],MATCH(Data_NFI_t[[#This Row],[Camp Name]],Camp_List[Camp Name],0)-1,0,1,1),"")</f>
        <v>MMR012CMP056</v>
      </c>
      <c r="AF43" s="714" t="str">
        <f ca="1">IFERROR(OFFSET(Camp_List[Status],MATCH(Data_NFI_t[[#This Row],[Camp Name]],Camp_List[Camp Name],0)-1,0,1,1),"")</f>
        <v>Open</v>
      </c>
    </row>
    <row r="44" spans="1:32" s="102" customFormat="1" ht="15" customHeight="1" x14ac:dyDescent="0.25">
      <c r="A44" s="265">
        <f t="shared" si="0"/>
        <v>7.2666666666666666</v>
      </c>
      <c r="B44" s="265">
        <f>YEAR(Data_NFI_t[[#This Row],[Distribution Date]])</f>
        <v>2015</v>
      </c>
      <c r="C44" s="738">
        <v>42121</v>
      </c>
      <c r="D44" s="655" t="s">
        <v>288</v>
      </c>
      <c r="E44" s="654" t="s">
        <v>643</v>
      </c>
      <c r="F44" s="655" t="s">
        <v>7</v>
      </c>
      <c r="G44" s="31" t="s">
        <v>19</v>
      </c>
      <c r="H44" s="31" t="s">
        <v>248</v>
      </c>
      <c r="I44" s="31"/>
      <c r="J44" s="61">
        <v>151</v>
      </c>
      <c r="K44" s="61"/>
      <c r="L44" s="61">
        <v>302</v>
      </c>
      <c r="M44" s="61">
        <v>151</v>
      </c>
      <c r="N44" s="61">
        <v>302</v>
      </c>
      <c r="O44" s="61">
        <v>151</v>
      </c>
      <c r="P44" s="61"/>
      <c r="Q44" s="61">
        <v>151</v>
      </c>
      <c r="R44" s="708">
        <v>151</v>
      </c>
      <c r="S44" s="61">
        <v>755</v>
      </c>
      <c r="T44" s="150">
        <f>IF(NFI_Expiration=1,IF($A44&lt;VLOOKUP(I$5,NFI,5,0),1,0)*Data_NFI_t[[#This Row],[Hygiene Kit]],0)</f>
        <v>0</v>
      </c>
      <c r="U44" s="150">
        <f>IF(NFI_Expiration=1,IF($A44&lt;VLOOKUP(J$5,NFI,5,0),1,0)*Data_NFI_t[[#This Row],[NFI Core Kit]],0)</f>
        <v>151</v>
      </c>
      <c r="V44" s="131">
        <f>IF(NFI_Expiration=1,IF($A44&lt;VLOOKUP(K$5,NFI,5,0),1,0)*Data_NFI_t[[#This Row],[Sanitary Kit]],0)</f>
        <v>0</v>
      </c>
      <c r="W44" s="131">
        <f>IF(NFI_Expiration=1,IF($A44&lt;VLOOKUP(L$5,NFI,5,0),1,0)*Data_NFI_t[[#This Row],[Mosquito net]],0)</f>
        <v>302</v>
      </c>
      <c r="X44" s="131">
        <f>IF(NFI_Expiration=1,IF($A44&lt;VLOOKUP(M$5,NFI,5,0),1,0)*Data_NFI_t[[#This Row],[Tarpaulin]],0)</f>
        <v>151</v>
      </c>
      <c r="Y44" s="131">
        <f>IF(NFI_Expiration=1,IF($A44&lt;VLOOKUP(N$5,NFI,5,0),1,0)*Data_NFI_t[[#This Row],[Blanket]],0)</f>
        <v>302</v>
      </c>
      <c r="Z44" s="131">
        <f>IF(NFI_Expiration=1,IF($A44&lt;VLOOKUP(O$5,NFI,5,0),1,0)*Data_NFI_t[[#This Row],[Kitchen Set]],0)</f>
        <v>151</v>
      </c>
      <c r="AA44" s="131">
        <f>IF(NFI_Expiration=1,IF($A44&lt;VLOOKUP(P$5,NFI,5,0),1,0)*Data_NFI_t[[#This Row],[Complementary Kit]],0)</f>
        <v>0</v>
      </c>
      <c r="AB44" s="131">
        <f>IF(NFI_Expiration=1,IF($A44&lt;VLOOKUP(Q$5,NFI,5,0),1,0)*Data_NFI_t[[#This Row],[Plastic Bucket]],0)</f>
        <v>151</v>
      </c>
      <c r="AC44" s="131">
        <f>IF(NFI_Expiration=1,IF($A44&lt;VLOOKUP(R$5,NFI,5,0),1,0)*Data_NFI_t[[#This Row],[Jerry Can]],0)</f>
        <v>151</v>
      </c>
      <c r="AD44" s="150">
        <f>IF(NFI_Expiration=1,IF($A44&lt;VLOOKUP(S$5,NFI,5,0),1,0)*Data_NFI_t[[#This Row],[Plastic Mat]],0)*IF(Data_NFI_t[[#This Row],[Distribution Date]]&gt;"01-04-2014",1,2.5)</f>
        <v>1887.5</v>
      </c>
      <c r="AE44" s="150" t="str">
        <f ca="1">IFERROR(OFFSET(Camp_List[P_Code],MATCH(Data_NFI_t[[#This Row],[Camp Name]],Camp_List[Camp Name],0)-1,0,1,1),"")</f>
        <v>MMR012CMP093</v>
      </c>
      <c r="AF44" s="714" t="str">
        <f ca="1">IFERROR(OFFSET(Camp_List[Status],MATCH(Data_NFI_t[[#This Row],[Camp Name]],Camp_List[Camp Name],0)-1,0,1,1),"")</f>
        <v>Open</v>
      </c>
    </row>
    <row r="45" spans="1:32" s="102" customFormat="1" ht="15" customHeight="1" x14ac:dyDescent="0.25">
      <c r="A45" s="265">
        <f t="shared" si="0"/>
        <v>8.6999999999999993</v>
      </c>
      <c r="B45" s="265">
        <f>YEAR(Data_NFI_t[[#This Row],[Distribution Date]])</f>
        <v>2015</v>
      </c>
      <c r="C45" s="738">
        <v>42078</v>
      </c>
      <c r="D45" s="655" t="s">
        <v>526</v>
      </c>
      <c r="E45" s="654" t="s">
        <v>526</v>
      </c>
      <c r="F45" s="655" t="s">
        <v>7</v>
      </c>
      <c r="G45" s="31" t="s">
        <v>19</v>
      </c>
      <c r="H45" s="31" t="s">
        <v>70</v>
      </c>
      <c r="I45" s="31">
        <v>1020</v>
      </c>
      <c r="J45" s="61"/>
      <c r="K45" s="61"/>
      <c r="L45" s="61"/>
      <c r="M45" s="61"/>
      <c r="N45" s="61"/>
      <c r="O45" s="61"/>
      <c r="P45" s="61"/>
      <c r="Q45" s="61"/>
      <c r="R45" s="708"/>
      <c r="S45" s="61"/>
      <c r="T45" s="150">
        <f>IF(NFI_Expiration=1,IF($A45&lt;VLOOKUP(I$5,NFI,5,0),1,0)*Data_NFI_t[[#This Row],[Hygiene Kit]],0)</f>
        <v>1020</v>
      </c>
      <c r="U45" s="150">
        <f>IF(NFI_Expiration=1,IF($A45&lt;VLOOKUP(J$5,NFI,5,0),1,0)*Data_NFI_t[[#This Row],[NFI Core Kit]],0)</f>
        <v>0</v>
      </c>
      <c r="V45" s="131">
        <f>IF(NFI_Expiration=1,IF($A45&lt;VLOOKUP(K$5,NFI,5,0),1,0)*Data_NFI_t[[#This Row],[Sanitary Kit]],0)</f>
        <v>0</v>
      </c>
      <c r="W45" s="131">
        <f>IF(NFI_Expiration=1,IF($A45&lt;VLOOKUP(L$5,NFI,5,0),1,0)*Data_NFI_t[[#This Row],[Mosquito net]],0)</f>
        <v>0</v>
      </c>
      <c r="X45" s="131">
        <f>IF(NFI_Expiration=1,IF($A45&lt;VLOOKUP(M$5,NFI,5,0),1,0)*Data_NFI_t[[#This Row],[Tarpaulin]],0)</f>
        <v>0</v>
      </c>
      <c r="Y45" s="131">
        <f>IF(NFI_Expiration=1,IF($A45&lt;VLOOKUP(N$5,NFI,5,0),1,0)*Data_NFI_t[[#This Row],[Blanket]],0)</f>
        <v>0</v>
      </c>
      <c r="Z45" s="131">
        <f>IF(NFI_Expiration=1,IF($A45&lt;VLOOKUP(O$5,NFI,5,0),1,0)*Data_NFI_t[[#This Row],[Kitchen Set]],0)</f>
        <v>0</v>
      </c>
      <c r="AA45" s="131">
        <f>IF(NFI_Expiration=1,IF($A45&lt;VLOOKUP(P$5,NFI,5,0),1,0)*Data_NFI_t[[#This Row],[Complementary Kit]],0)</f>
        <v>0</v>
      </c>
      <c r="AB45" s="131">
        <f>IF(NFI_Expiration=1,IF($A45&lt;VLOOKUP(Q$5,NFI,5,0),1,0)*Data_NFI_t[[#This Row],[Plastic Bucket]],0)</f>
        <v>0</v>
      </c>
      <c r="AC45" s="131">
        <f>IF(NFI_Expiration=1,IF($A45&lt;VLOOKUP(R$5,NFI,5,0),1,0)*Data_NFI_t[[#This Row],[Jerry Can]],0)</f>
        <v>0</v>
      </c>
      <c r="AD45" s="150">
        <f>IF(NFI_Expiration=1,IF($A45&lt;VLOOKUP(S$5,NFI,5,0),1,0)*Data_NFI_t[[#This Row],[Plastic Mat]],0)*IF(Data_NFI_t[[#This Row],[Distribution Date]]&gt;"01-04-2014",1,2.5)</f>
        <v>0</v>
      </c>
      <c r="AE45" s="150" t="str">
        <f ca="1">IFERROR(OFFSET(Camp_List[P_Code],MATCH(Data_NFI_t[[#This Row],[Camp Name]],Camp_List[Camp Name],0)-1,0,1,1),"")</f>
        <v>MMR012CMP048</v>
      </c>
      <c r="AF45" s="714" t="str">
        <f ca="1">IFERROR(OFFSET(Camp_List[Status],MATCH(Data_NFI_t[[#This Row],[Camp Name]],Camp_List[Camp Name],0)-1,0,1,1),"")</f>
        <v>Open</v>
      </c>
    </row>
    <row r="46" spans="1:32" s="102" customFormat="1" ht="15" customHeight="1" x14ac:dyDescent="0.25">
      <c r="A46" s="265">
        <f t="shared" si="0"/>
        <v>10.466666666666667</v>
      </c>
      <c r="B46" s="265">
        <v>2015</v>
      </c>
      <c r="C46" s="738">
        <v>42025</v>
      </c>
      <c r="D46" s="655" t="s">
        <v>288</v>
      </c>
      <c r="E46" s="654" t="s">
        <v>288</v>
      </c>
      <c r="F46" s="655" t="s">
        <v>7</v>
      </c>
      <c r="G46" s="31" t="s">
        <v>16</v>
      </c>
      <c r="H46" s="31" t="s">
        <v>624</v>
      </c>
      <c r="I46" s="31">
        <v>0</v>
      </c>
      <c r="J46" s="61">
        <v>0</v>
      </c>
      <c r="K46" s="61">
        <v>0</v>
      </c>
      <c r="L46" s="61">
        <v>0</v>
      </c>
      <c r="M46" s="61">
        <v>0</v>
      </c>
      <c r="N46" s="61">
        <v>700</v>
      </c>
      <c r="O46" s="61">
        <v>0</v>
      </c>
      <c r="P46" s="61">
        <v>0</v>
      </c>
      <c r="Q46" s="61">
        <v>350</v>
      </c>
      <c r="R46" s="708">
        <v>0</v>
      </c>
      <c r="S46" s="61">
        <v>1120</v>
      </c>
      <c r="T46" s="150">
        <f>IF(NFI_Expiration=1,IF($A46&lt;VLOOKUP(I$5,NFI,5,0),1,0)*Data_NFI_t[[#This Row],[Hygiene Kit]],0)</f>
        <v>0</v>
      </c>
      <c r="U46" s="150">
        <f>IF(NFI_Expiration=1,IF($A46&lt;VLOOKUP(J$5,NFI,5,0),1,0)*Data_NFI_t[[#This Row],[NFI Core Kit]],0)</f>
        <v>0</v>
      </c>
      <c r="V46" s="131">
        <f>IF(NFI_Expiration=1,IF($A46&lt;VLOOKUP(K$5,NFI,5,0),1,0)*Data_NFI_t[[#This Row],[Sanitary Kit]],0)</f>
        <v>0</v>
      </c>
      <c r="W46" s="131">
        <f>IF(NFI_Expiration=1,IF($A46&lt;VLOOKUP(L$5,NFI,5,0),1,0)*Data_NFI_t[[#This Row],[Mosquito net]],0)</f>
        <v>0</v>
      </c>
      <c r="X46" s="131">
        <f>IF(NFI_Expiration=1,IF($A46&lt;VLOOKUP(M$5,NFI,5,0),1,0)*Data_NFI_t[[#This Row],[Tarpaulin]],0)</f>
        <v>0</v>
      </c>
      <c r="Y46" s="131">
        <f>IF(NFI_Expiration=1,IF($A46&lt;VLOOKUP(N$5,NFI,5,0),1,0)*Data_NFI_t[[#This Row],[Blanket]],0)</f>
        <v>700</v>
      </c>
      <c r="Z46" s="131">
        <f>IF(NFI_Expiration=1,IF($A46&lt;VLOOKUP(O$5,NFI,5,0),1,0)*Data_NFI_t[[#This Row],[Kitchen Set]],0)</f>
        <v>0</v>
      </c>
      <c r="AA46" s="131">
        <f>IF(NFI_Expiration=1,IF($A46&lt;VLOOKUP(P$5,NFI,5,0),1,0)*Data_NFI_t[[#This Row],[Complementary Kit]],0)</f>
        <v>0</v>
      </c>
      <c r="AB46" s="131">
        <f>IF(NFI_Expiration=1,IF($A46&lt;VLOOKUP(Q$5,NFI,5,0),1,0)*Data_NFI_t[[#This Row],[Plastic Bucket]],0)</f>
        <v>350</v>
      </c>
      <c r="AC46" s="131">
        <f>IF(NFI_Expiration=1,IF($A46&lt;VLOOKUP(R$5,NFI,5,0),1,0)*Data_NFI_t[[#This Row],[Jerry Can]],0)</f>
        <v>0</v>
      </c>
      <c r="AD46" s="150">
        <f>IF(NFI_Expiration=1,IF($A46&lt;VLOOKUP(S$5,NFI,5,0),1,0)*Data_NFI_t[[#This Row],[Plastic Mat]],0)*IF(Data_NFI_t[[#This Row],[Distribution Date]]&gt;"01-04-2014",1,2.5)</f>
        <v>2800</v>
      </c>
      <c r="AE46" s="150" t="str">
        <f ca="1">IFERROR(OFFSET(Camp_List[P_Code],MATCH(Data_NFI_t[[#This Row],[Camp Name]],Camp_List[Camp Name],0)-1,0,1,1),"")</f>
        <v>MMR012CMP033</v>
      </c>
      <c r="AF46" s="714" t="str">
        <f ca="1">IFERROR(OFFSET(Camp_List[Status],MATCH(Data_NFI_t[[#This Row],[Camp Name]],Camp_List[Camp Name],0)-1,0,1,1),"")</f>
        <v>Open</v>
      </c>
    </row>
    <row r="47" spans="1:32" s="102" customFormat="1" ht="15" customHeight="1" x14ac:dyDescent="0.25">
      <c r="A47" s="265">
        <f t="shared" si="0"/>
        <v>9.1666666666666661</v>
      </c>
      <c r="B47" s="265">
        <f>YEAR(Data_NFI_t[[#This Row],[Distribution Date]])</f>
        <v>2015</v>
      </c>
      <c r="C47" s="738">
        <v>42064</v>
      </c>
      <c r="D47" s="655" t="s">
        <v>733</v>
      </c>
      <c r="E47" s="654" t="s">
        <v>733</v>
      </c>
      <c r="F47" s="655" t="s">
        <v>7</v>
      </c>
      <c r="G47" s="31" t="s">
        <v>915</v>
      </c>
      <c r="H47" s="31" t="s">
        <v>37</v>
      </c>
      <c r="I47" s="31">
        <v>42</v>
      </c>
      <c r="J47" s="61"/>
      <c r="K47" s="61"/>
      <c r="L47" s="61"/>
      <c r="M47" s="61"/>
      <c r="N47" s="61"/>
      <c r="O47" s="61"/>
      <c r="P47" s="61"/>
      <c r="Q47" s="61"/>
      <c r="R47" s="708"/>
      <c r="S47" s="61"/>
      <c r="T47" s="150">
        <f>IF(NFI_Expiration=1,IF($A47&lt;VLOOKUP(I$5,NFI,5,0),1,0)*Data_NFI_t[[#This Row],[Hygiene Kit]],0)</f>
        <v>42</v>
      </c>
      <c r="U47" s="150">
        <f>IF(NFI_Expiration=1,IF($A47&lt;VLOOKUP(J$5,NFI,5,0),1,0)*Data_NFI_t[[#This Row],[NFI Core Kit]],0)</f>
        <v>0</v>
      </c>
      <c r="V47" s="131">
        <f>IF(NFI_Expiration=1,IF($A47&lt;VLOOKUP(K$5,NFI,5,0),1,0)*Data_NFI_t[[#This Row],[Sanitary Kit]],0)</f>
        <v>0</v>
      </c>
      <c r="W47" s="131">
        <f>IF(NFI_Expiration=1,IF($A47&lt;VLOOKUP(L$5,NFI,5,0),1,0)*Data_NFI_t[[#This Row],[Mosquito net]],0)</f>
        <v>0</v>
      </c>
      <c r="X47" s="131">
        <f>IF(NFI_Expiration=1,IF($A47&lt;VLOOKUP(M$5,NFI,5,0),1,0)*Data_NFI_t[[#This Row],[Tarpaulin]],0)</f>
        <v>0</v>
      </c>
      <c r="Y47" s="131">
        <f>IF(NFI_Expiration=1,IF($A47&lt;VLOOKUP(N$5,NFI,5,0),1,0)*Data_NFI_t[[#This Row],[Blanket]],0)</f>
        <v>0</v>
      </c>
      <c r="Z47" s="131">
        <f>IF(NFI_Expiration=1,IF($A47&lt;VLOOKUP(O$5,NFI,5,0),1,0)*Data_NFI_t[[#This Row],[Kitchen Set]],0)</f>
        <v>0</v>
      </c>
      <c r="AA47" s="131">
        <f>IF(NFI_Expiration=1,IF($A47&lt;VLOOKUP(P$5,NFI,5,0),1,0)*Data_NFI_t[[#This Row],[Complementary Kit]],0)</f>
        <v>0</v>
      </c>
      <c r="AB47" s="131">
        <f>IF(NFI_Expiration=1,IF($A47&lt;VLOOKUP(Q$5,NFI,5,0),1,0)*Data_NFI_t[[#This Row],[Plastic Bucket]],0)</f>
        <v>0</v>
      </c>
      <c r="AC47" s="131">
        <f>IF(NFI_Expiration=1,IF($A47&lt;VLOOKUP(R$5,NFI,5,0),1,0)*Data_NFI_t[[#This Row],[Jerry Can]],0)</f>
        <v>0</v>
      </c>
      <c r="AD47" s="150">
        <f>IF(NFI_Expiration=1,IF($A47&lt;VLOOKUP(S$5,NFI,5,0),1,0)*Data_NFI_t[[#This Row],[Plastic Mat]],0)*IF(Data_NFI_t[[#This Row],[Distribution Date]]&gt;"01-04-2014",1,2.5)</f>
        <v>0</v>
      </c>
      <c r="AE47" s="150" t="str">
        <f ca="1">IFERROR(OFFSET(Camp_List[P_Code],MATCH(Data_NFI_t[[#This Row],[Camp Name]],Camp_List[Camp Name],0)-1,0,1,1),"")</f>
        <v>MMR012CMP013</v>
      </c>
      <c r="AF47" s="714" t="str">
        <f ca="1">IFERROR(OFFSET(Camp_List[Status],MATCH(Data_NFI_t[[#This Row],[Camp Name]],Camp_List[Camp Name],0)-1,0,1,1),"")</f>
        <v>Open</v>
      </c>
    </row>
    <row r="48" spans="1:32" s="102" customFormat="1" ht="15" customHeight="1" x14ac:dyDescent="0.25">
      <c r="A48" s="265">
        <f t="shared" si="0"/>
        <v>9.1666666666666661</v>
      </c>
      <c r="B48" s="265">
        <f>YEAR(Data_NFI_t[[#This Row],[Distribution Date]])</f>
        <v>2015</v>
      </c>
      <c r="C48" s="738">
        <v>42064</v>
      </c>
      <c r="D48" s="655" t="s">
        <v>733</v>
      </c>
      <c r="E48" s="654" t="s">
        <v>733</v>
      </c>
      <c r="F48" s="655" t="s">
        <v>7</v>
      </c>
      <c r="G48" s="31" t="s">
        <v>915</v>
      </c>
      <c r="H48" s="31" t="s">
        <v>38</v>
      </c>
      <c r="I48" s="31">
        <v>682</v>
      </c>
      <c r="J48" s="61"/>
      <c r="K48" s="61"/>
      <c r="L48" s="61"/>
      <c r="M48" s="61"/>
      <c r="N48" s="61"/>
      <c r="O48" s="61"/>
      <c r="P48" s="61"/>
      <c r="Q48" s="61"/>
      <c r="R48" s="708"/>
      <c r="S48" s="61"/>
      <c r="T48" s="150">
        <f>IF(NFI_Expiration=1,IF($A48&lt;VLOOKUP(I$5,NFI,5,0),1,0)*Data_NFI_t[[#This Row],[Hygiene Kit]],0)</f>
        <v>682</v>
      </c>
      <c r="U48" s="150">
        <f>IF(NFI_Expiration=1,IF($A48&lt;VLOOKUP(J$5,NFI,5,0),1,0)*Data_NFI_t[[#This Row],[NFI Core Kit]],0)</f>
        <v>0</v>
      </c>
      <c r="V48" s="131">
        <f>IF(NFI_Expiration=1,IF($A48&lt;VLOOKUP(K$5,NFI,5,0),1,0)*Data_NFI_t[[#This Row],[Sanitary Kit]],0)</f>
        <v>0</v>
      </c>
      <c r="W48" s="131">
        <f>IF(NFI_Expiration=1,IF($A48&lt;VLOOKUP(L$5,NFI,5,0),1,0)*Data_NFI_t[[#This Row],[Mosquito net]],0)</f>
        <v>0</v>
      </c>
      <c r="X48" s="131">
        <f>IF(NFI_Expiration=1,IF($A48&lt;VLOOKUP(M$5,NFI,5,0),1,0)*Data_NFI_t[[#This Row],[Tarpaulin]],0)</f>
        <v>0</v>
      </c>
      <c r="Y48" s="131">
        <f>IF(NFI_Expiration=1,IF($A48&lt;VLOOKUP(N$5,NFI,5,0),1,0)*Data_NFI_t[[#This Row],[Blanket]],0)</f>
        <v>0</v>
      </c>
      <c r="Z48" s="131">
        <f>IF(NFI_Expiration=1,IF($A48&lt;VLOOKUP(O$5,NFI,5,0),1,0)*Data_NFI_t[[#This Row],[Kitchen Set]],0)</f>
        <v>0</v>
      </c>
      <c r="AA48" s="131">
        <f>IF(NFI_Expiration=1,IF($A48&lt;VLOOKUP(P$5,NFI,5,0),1,0)*Data_NFI_t[[#This Row],[Complementary Kit]],0)</f>
        <v>0</v>
      </c>
      <c r="AB48" s="131">
        <f>IF(NFI_Expiration=1,IF($A48&lt;VLOOKUP(Q$5,NFI,5,0),1,0)*Data_NFI_t[[#This Row],[Plastic Bucket]],0)</f>
        <v>0</v>
      </c>
      <c r="AC48" s="131">
        <f>IF(NFI_Expiration=1,IF($A48&lt;VLOOKUP(R$5,NFI,5,0),1,0)*Data_NFI_t[[#This Row],[Jerry Can]],0)</f>
        <v>0</v>
      </c>
      <c r="AD48" s="150">
        <f>IF(NFI_Expiration=1,IF($A48&lt;VLOOKUP(S$5,NFI,5,0),1,0)*Data_NFI_t[[#This Row],[Plastic Mat]],0)*IF(Data_NFI_t[[#This Row],[Distribution Date]]&gt;"01-04-2014",1,2.5)</f>
        <v>0</v>
      </c>
      <c r="AE48" s="150" t="str">
        <f ca="1">IFERROR(OFFSET(Camp_List[P_Code],MATCH(Data_NFI_t[[#This Row],[Camp Name]],Camp_List[Camp Name],0)-1,0,1,1),"")</f>
        <v>MMR012CMP014</v>
      </c>
      <c r="AF48" s="714" t="str">
        <f ca="1">IFERROR(OFFSET(Camp_List[Status],MATCH(Data_NFI_t[[#This Row],[Camp Name]],Camp_List[Camp Name],0)-1,0,1,1),"")</f>
        <v>Open</v>
      </c>
    </row>
    <row r="49" spans="1:32" s="102" customFormat="1" ht="15" customHeight="1" x14ac:dyDescent="0.25">
      <c r="A49" s="265">
        <f t="shared" si="0"/>
        <v>9.4666666666666668</v>
      </c>
      <c r="B49" s="265">
        <f>YEAR(Data_NFI_t[[#This Row],[Distribution Date]])</f>
        <v>2015</v>
      </c>
      <c r="C49" s="738">
        <v>42055</v>
      </c>
      <c r="D49" s="655" t="s">
        <v>530</v>
      </c>
      <c r="E49" s="654" t="s">
        <v>530</v>
      </c>
      <c r="F49" s="655" t="s">
        <v>7</v>
      </c>
      <c r="G49" s="31" t="s">
        <v>19</v>
      </c>
      <c r="H49" s="31" t="s">
        <v>659</v>
      </c>
      <c r="I49" s="31">
        <v>249</v>
      </c>
      <c r="J49" s="61"/>
      <c r="K49" s="61"/>
      <c r="L49" s="61"/>
      <c r="M49" s="61"/>
      <c r="N49" s="61"/>
      <c r="O49" s="61"/>
      <c r="P49" s="61"/>
      <c r="Q49" s="61"/>
      <c r="R49" s="708"/>
      <c r="S49" s="61"/>
      <c r="T49" s="150">
        <f>IF(NFI_Expiration=1,IF($A49&lt;VLOOKUP(I$5,NFI,5,0),1,0)*Data_NFI_t[[#This Row],[Hygiene Kit]],0)</f>
        <v>249</v>
      </c>
      <c r="U49" s="150">
        <f>IF(NFI_Expiration=1,IF($A49&lt;VLOOKUP(J$5,NFI,5,0),1,0)*Data_NFI_t[[#This Row],[NFI Core Kit]],0)</f>
        <v>0</v>
      </c>
      <c r="V49" s="131">
        <f>IF(NFI_Expiration=1,IF($A49&lt;VLOOKUP(K$5,NFI,5,0),1,0)*Data_NFI_t[[#This Row],[Sanitary Kit]],0)</f>
        <v>0</v>
      </c>
      <c r="W49" s="131">
        <f>IF(NFI_Expiration=1,IF($A49&lt;VLOOKUP(L$5,NFI,5,0),1,0)*Data_NFI_t[[#This Row],[Mosquito net]],0)</f>
        <v>0</v>
      </c>
      <c r="X49" s="131">
        <f>IF(NFI_Expiration=1,IF($A49&lt;VLOOKUP(M$5,NFI,5,0),1,0)*Data_NFI_t[[#This Row],[Tarpaulin]],0)</f>
        <v>0</v>
      </c>
      <c r="Y49" s="131">
        <f>IF(NFI_Expiration=1,IF($A49&lt;VLOOKUP(N$5,NFI,5,0),1,0)*Data_NFI_t[[#This Row],[Blanket]],0)</f>
        <v>0</v>
      </c>
      <c r="Z49" s="131">
        <f>IF(NFI_Expiration=1,IF($A49&lt;VLOOKUP(O$5,NFI,5,0),1,0)*Data_NFI_t[[#This Row],[Kitchen Set]],0)</f>
        <v>0</v>
      </c>
      <c r="AA49" s="131">
        <f>IF(NFI_Expiration=1,IF($A49&lt;VLOOKUP(P$5,NFI,5,0),1,0)*Data_NFI_t[[#This Row],[Complementary Kit]],0)</f>
        <v>0</v>
      </c>
      <c r="AB49" s="131">
        <f>IF(NFI_Expiration=1,IF($A49&lt;VLOOKUP(Q$5,NFI,5,0),1,0)*Data_NFI_t[[#This Row],[Plastic Bucket]],0)</f>
        <v>0</v>
      </c>
      <c r="AC49" s="131">
        <f>IF(NFI_Expiration=1,IF($A49&lt;VLOOKUP(R$5,NFI,5,0),1,0)*Data_NFI_t[[#This Row],[Jerry Can]],0)</f>
        <v>0</v>
      </c>
      <c r="AD49" s="150">
        <f>IF(NFI_Expiration=1,IF($A49&lt;VLOOKUP(S$5,NFI,5,0),1,0)*Data_NFI_t[[#This Row],[Plastic Mat]],0)*IF(Data_NFI_t[[#This Row],[Distribution Date]]&gt;"01-04-2014",1,2.5)</f>
        <v>0</v>
      </c>
      <c r="AE49" s="150" t="str">
        <f ca="1">IFERROR(OFFSET(Camp_List[P_Code],MATCH(Data_NFI_t[[#This Row],[Camp Name]],Camp_List[Camp Name],0)-1,0,1,1),"")</f>
        <v>MMR012CMP111</v>
      </c>
      <c r="AF49" s="714" t="str">
        <f ca="1">IFERROR(OFFSET(Camp_List[Status],MATCH(Data_NFI_t[[#This Row],[Camp Name]],Camp_List[Camp Name],0)-1,0,1,1),"")</f>
        <v>Open</v>
      </c>
    </row>
    <row r="50" spans="1:32" s="102" customFormat="1" ht="15" customHeight="1" x14ac:dyDescent="0.25">
      <c r="A50" s="265">
        <f t="shared" si="0"/>
        <v>10.1</v>
      </c>
      <c r="B50" s="265">
        <f>YEAR(Data_NFI_t[[#This Row],[Distribution Date]])</f>
        <v>2015</v>
      </c>
      <c r="C50" s="738">
        <v>42036</v>
      </c>
      <c r="D50" s="655" t="s">
        <v>733</v>
      </c>
      <c r="E50" s="654" t="s">
        <v>733</v>
      </c>
      <c r="F50" s="655" t="s">
        <v>7</v>
      </c>
      <c r="G50" s="31" t="s">
        <v>915</v>
      </c>
      <c r="H50" s="31" t="s">
        <v>37</v>
      </c>
      <c r="I50" s="31">
        <v>42</v>
      </c>
      <c r="J50" s="61"/>
      <c r="K50" s="61"/>
      <c r="L50" s="61"/>
      <c r="M50" s="61"/>
      <c r="N50" s="61"/>
      <c r="O50" s="61"/>
      <c r="P50" s="61"/>
      <c r="Q50" s="61"/>
      <c r="R50" s="708"/>
      <c r="S50" s="61"/>
      <c r="T50" s="150">
        <f>IF(NFI_Expiration=1,IF($A50&lt;VLOOKUP(I$5,NFI,5,0),1,0)*Data_NFI_t[[#This Row],[Hygiene Kit]],0)</f>
        <v>42</v>
      </c>
      <c r="U50" s="150">
        <f>IF(NFI_Expiration=1,IF($A50&lt;VLOOKUP(J$5,NFI,5,0),1,0)*Data_NFI_t[[#This Row],[NFI Core Kit]],0)</f>
        <v>0</v>
      </c>
      <c r="V50" s="131">
        <f>IF(NFI_Expiration=1,IF($A50&lt;VLOOKUP(K$5,NFI,5,0),1,0)*Data_NFI_t[[#This Row],[Sanitary Kit]],0)</f>
        <v>0</v>
      </c>
      <c r="W50" s="131">
        <f>IF(NFI_Expiration=1,IF($A50&lt;VLOOKUP(L$5,NFI,5,0),1,0)*Data_NFI_t[[#This Row],[Mosquito net]],0)</f>
        <v>0</v>
      </c>
      <c r="X50" s="131">
        <f>IF(NFI_Expiration=1,IF($A50&lt;VLOOKUP(M$5,NFI,5,0),1,0)*Data_NFI_t[[#This Row],[Tarpaulin]],0)</f>
        <v>0</v>
      </c>
      <c r="Y50" s="131">
        <f>IF(NFI_Expiration=1,IF($A50&lt;VLOOKUP(N$5,NFI,5,0),1,0)*Data_NFI_t[[#This Row],[Blanket]],0)</f>
        <v>0</v>
      </c>
      <c r="Z50" s="131">
        <f>IF(NFI_Expiration=1,IF($A50&lt;VLOOKUP(O$5,NFI,5,0),1,0)*Data_NFI_t[[#This Row],[Kitchen Set]],0)</f>
        <v>0</v>
      </c>
      <c r="AA50" s="131">
        <f>IF(NFI_Expiration=1,IF($A50&lt;VLOOKUP(P$5,NFI,5,0),1,0)*Data_NFI_t[[#This Row],[Complementary Kit]],0)</f>
        <v>0</v>
      </c>
      <c r="AB50" s="131">
        <f>IF(NFI_Expiration=1,IF($A50&lt;VLOOKUP(Q$5,NFI,5,0),1,0)*Data_NFI_t[[#This Row],[Plastic Bucket]],0)</f>
        <v>0</v>
      </c>
      <c r="AC50" s="131">
        <f>IF(NFI_Expiration=1,IF($A50&lt;VLOOKUP(R$5,NFI,5,0),1,0)*Data_NFI_t[[#This Row],[Jerry Can]],0)</f>
        <v>0</v>
      </c>
      <c r="AD50" s="150">
        <f>IF(NFI_Expiration=1,IF($A50&lt;VLOOKUP(S$5,NFI,5,0),1,0)*Data_NFI_t[[#This Row],[Plastic Mat]],0)*IF(Data_NFI_t[[#This Row],[Distribution Date]]&gt;"01-04-2014",1,2.5)</f>
        <v>0</v>
      </c>
      <c r="AE50" s="150" t="str">
        <f ca="1">IFERROR(OFFSET(Camp_List[P_Code],MATCH(Data_NFI_t[[#This Row],[Camp Name]],Camp_List[Camp Name],0)-1,0,1,1),"")</f>
        <v>MMR012CMP013</v>
      </c>
      <c r="AF50" s="714" t="str">
        <f ca="1">IFERROR(OFFSET(Camp_List[Status],MATCH(Data_NFI_t[[#This Row],[Camp Name]],Camp_List[Camp Name],0)-1,0,1,1),"")</f>
        <v>Open</v>
      </c>
    </row>
    <row r="51" spans="1:32" s="102" customFormat="1" ht="15" customHeight="1" x14ac:dyDescent="0.25">
      <c r="A51" s="265">
        <f t="shared" si="0"/>
        <v>10.1</v>
      </c>
      <c r="B51" s="265">
        <f>YEAR(Data_NFI_t[[#This Row],[Distribution Date]])</f>
        <v>2015</v>
      </c>
      <c r="C51" s="738">
        <v>42036</v>
      </c>
      <c r="D51" s="655" t="s">
        <v>733</v>
      </c>
      <c r="E51" s="654" t="s">
        <v>733</v>
      </c>
      <c r="F51" s="655" t="s">
        <v>7</v>
      </c>
      <c r="G51" s="31" t="s">
        <v>915</v>
      </c>
      <c r="H51" s="31" t="s">
        <v>38</v>
      </c>
      <c r="I51" s="31">
        <v>682</v>
      </c>
      <c r="J51" s="61"/>
      <c r="K51" s="61"/>
      <c r="L51" s="61"/>
      <c r="M51" s="61"/>
      <c r="N51" s="61"/>
      <c r="O51" s="61"/>
      <c r="P51" s="61"/>
      <c r="Q51" s="61"/>
      <c r="R51" s="708"/>
      <c r="S51" s="61"/>
      <c r="T51" s="150">
        <f>IF(NFI_Expiration=1,IF($A51&lt;VLOOKUP(I$5,NFI,5,0),1,0)*Data_NFI_t[[#This Row],[Hygiene Kit]],0)</f>
        <v>682</v>
      </c>
      <c r="U51" s="150">
        <f>IF(NFI_Expiration=1,IF($A51&lt;VLOOKUP(J$5,NFI,5,0),1,0)*Data_NFI_t[[#This Row],[NFI Core Kit]],0)</f>
        <v>0</v>
      </c>
      <c r="V51" s="131">
        <f>IF(NFI_Expiration=1,IF($A51&lt;VLOOKUP(K$5,NFI,5,0),1,0)*Data_NFI_t[[#This Row],[Sanitary Kit]],0)</f>
        <v>0</v>
      </c>
      <c r="W51" s="131">
        <f>IF(NFI_Expiration=1,IF($A51&lt;VLOOKUP(L$5,NFI,5,0),1,0)*Data_NFI_t[[#This Row],[Mosquito net]],0)</f>
        <v>0</v>
      </c>
      <c r="X51" s="131">
        <f>IF(NFI_Expiration=1,IF($A51&lt;VLOOKUP(M$5,NFI,5,0),1,0)*Data_NFI_t[[#This Row],[Tarpaulin]],0)</f>
        <v>0</v>
      </c>
      <c r="Y51" s="131">
        <f>IF(NFI_Expiration=1,IF($A51&lt;VLOOKUP(N$5,NFI,5,0),1,0)*Data_NFI_t[[#This Row],[Blanket]],0)</f>
        <v>0</v>
      </c>
      <c r="Z51" s="131">
        <f>IF(NFI_Expiration=1,IF($A51&lt;VLOOKUP(O$5,NFI,5,0),1,0)*Data_NFI_t[[#This Row],[Kitchen Set]],0)</f>
        <v>0</v>
      </c>
      <c r="AA51" s="131">
        <f>IF(NFI_Expiration=1,IF($A51&lt;VLOOKUP(P$5,NFI,5,0),1,0)*Data_NFI_t[[#This Row],[Complementary Kit]],0)</f>
        <v>0</v>
      </c>
      <c r="AB51" s="131">
        <f>IF(NFI_Expiration=1,IF($A51&lt;VLOOKUP(Q$5,NFI,5,0),1,0)*Data_NFI_t[[#This Row],[Plastic Bucket]],0)</f>
        <v>0</v>
      </c>
      <c r="AC51" s="131">
        <f>IF(NFI_Expiration=1,IF($A51&lt;VLOOKUP(R$5,NFI,5,0),1,0)*Data_NFI_t[[#This Row],[Jerry Can]],0)</f>
        <v>0</v>
      </c>
      <c r="AD51" s="150">
        <f>IF(NFI_Expiration=1,IF($A51&lt;VLOOKUP(S$5,NFI,5,0),1,0)*Data_NFI_t[[#This Row],[Plastic Mat]],0)*IF(Data_NFI_t[[#This Row],[Distribution Date]]&gt;"01-04-2014",1,2.5)</f>
        <v>0</v>
      </c>
      <c r="AE51" s="150" t="str">
        <f ca="1">IFERROR(OFFSET(Camp_List[P_Code],MATCH(Data_NFI_t[[#This Row],[Camp Name]],Camp_List[Camp Name],0)-1,0,1,1),"")</f>
        <v>MMR012CMP014</v>
      </c>
      <c r="AF51" s="714" t="str">
        <f ca="1">IFERROR(OFFSET(Camp_List[Status],MATCH(Data_NFI_t[[#This Row],[Camp Name]],Camp_List[Camp Name],0)-1,0,1,1),"")</f>
        <v>Open</v>
      </c>
    </row>
    <row r="52" spans="1:32" s="102" customFormat="1" ht="15" customHeight="1" x14ac:dyDescent="0.25">
      <c r="A52" s="265">
        <f t="shared" si="0"/>
        <v>10.199999999999999</v>
      </c>
      <c r="B52" s="265">
        <f>YEAR(Data_NFI_t[[#This Row],[Distribution Date]])</f>
        <v>2015</v>
      </c>
      <c r="C52" s="738">
        <v>42033</v>
      </c>
      <c r="D52" s="655" t="s">
        <v>288</v>
      </c>
      <c r="E52" s="654" t="s">
        <v>288</v>
      </c>
      <c r="F52" s="655" t="s">
        <v>7</v>
      </c>
      <c r="G52" s="31" t="s">
        <v>14</v>
      </c>
      <c r="H52" s="31" t="s">
        <v>42</v>
      </c>
      <c r="I52" s="31"/>
      <c r="J52" s="61">
        <v>101</v>
      </c>
      <c r="K52" s="61"/>
      <c r="L52" s="61">
        <v>1888</v>
      </c>
      <c r="M52" s="61">
        <v>944</v>
      </c>
      <c r="N52" s="61">
        <v>1888</v>
      </c>
      <c r="O52" s="61">
        <v>944</v>
      </c>
      <c r="P52" s="61"/>
      <c r="Q52" s="61">
        <v>944</v>
      </c>
      <c r="R52" s="708">
        <v>944</v>
      </c>
      <c r="S52" s="61">
        <v>4720</v>
      </c>
      <c r="T52" s="150">
        <f>IF(NFI_Expiration=1,IF($A52&lt;VLOOKUP(I$5,NFI,5,0),1,0)*Data_NFI_t[[#This Row],[Hygiene Kit]],0)</f>
        <v>0</v>
      </c>
      <c r="U52" s="150">
        <f>IF(NFI_Expiration=1,IF($A52&lt;VLOOKUP(J$5,NFI,5,0),1,0)*Data_NFI_t[[#This Row],[NFI Core Kit]],0)</f>
        <v>101</v>
      </c>
      <c r="V52" s="131">
        <f>IF(NFI_Expiration=1,IF($A52&lt;VLOOKUP(K$5,NFI,5,0),1,0)*Data_NFI_t[[#This Row],[Sanitary Kit]],0)</f>
        <v>0</v>
      </c>
      <c r="W52" s="131">
        <f>IF(NFI_Expiration=1,IF($A52&lt;VLOOKUP(L$5,NFI,5,0),1,0)*Data_NFI_t[[#This Row],[Mosquito net]],0)</f>
        <v>1888</v>
      </c>
      <c r="X52" s="131">
        <f>IF(NFI_Expiration=1,IF($A52&lt;VLOOKUP(M$5,NFI,5,0),1,0)*Data_NFI_t[[#This Row],[Tarpaulin]],0)</f>
        <v>944</v>
      </c>
      <c r="Y52" s="131">
        <f>IF(NFI_Expiration=1,IF($A52&lt;VLOOKUP(N$5,NFI,5,0),1,0)*Data_NFI_t[[#This Row],[Blanket]],0)</f>
        <v>1888</v>
      </c>
      <c r="Z52" s="131">
        <f>IF(NFI_Expiration=1,IF($A52&lt;VLOOKUP(O$5,NFI,5,0),1,0)*Data_NFI_t[[#This Row],[Kitchen Set]],0)</f>
        <v>944</v>
      </c>
      <c r="AA52" s="131">
        <f>IF(NFI_Expiration=1,IF($A52&lt;VLOOKUP(P$5,NFI,5,0),1,0)*Data_NFI_t[[#This Row],[Complementary Kit]],0)</f>
        <v>0</v>
      </c>
      <c r="AB52" s="131">
        <f>IF(NFI_Expiration=1,IF($A52&lt;VLOOKUP(Q$5,NFI,5,0),1,0)*Data_NFI_t[[#This Row],[Plastic Bucket]],0)</f>
        <v>944</v>
      </c>
      <c r="AC52" s="131">
        <f>IF(NFI_Expiration=1,IF($A52&lt;VLOOKUP(R$5,NFI,5,0),1,0)*Data_NFI_t[[#This Row],[Jerry Can]],0)</f>
        <v>944</v>
      </c>
      <c r="AD52" s="150">
        <f>IF(NFI_Expiration=1,IF($A52&lt;VLOOKUP(S$5,NFI,5,0),1,0)*Data_NFI_t[[#This Row],[Plastic Mat]],0)*IF(Data_NFI_t[[#This Row],[Distribution Date]]&gt;"01-04-2014",1,2.5)</f>
        <v>11800</v>
      </c>
      <c r="AE52" s="150" t="str">
        <f ca="1">IFERROR(OFFSET(Camp_List[P_Code],MATCH(Data_NFI_t[[#This Row],[Camp Name]],Camp_List[Camp Name],0)-1,0,1,1),"")</f>
        <v>MMR012CMP018</v>
      </c>
      <c r="AF52" s="714" t="str">
        <f ca="1">IFERROR(OFFSET(Camp_List[Status],MATCH(Data_NFI_t[[#This Row],[Camp Name]],Camp_List[Camp Name],0)-1,0,1,1),"")</f>
        <v>Open</v>
      </c>
    </row>
    <row r="53" spans="1:32" s="102" customFormat="1" ht="15" customHeight="1" x14ac:dyDescent="0.25">
      <c r="A53" s="265">
        <f t="shared" si="0"/>
        <v>10.466666666666667</v>
      </c>
      <c r="B53" s="265">
        <v>2015</v>
      </c>
      <c r="C53" s="738">
        <v>42025</v>
      </c>
      <c r="D53" s="655" t="s">
        <v>288</v>
      </c>
      <c r="E53" s="654" t="s">
        <v>288</v>
      </c>
      <c r="F53" s="655" t="s">
        <v>7</v>
      </c>
      <c r="G53" s="31" t="s">
        <v>16</v>
      </c>
      <c r="H53" s="31" t="s">
        <v>410</v>
      </c>
      <c r="I53" s="31">
        <v>0</v>
      </c>
      <c r="J53" s="61">
        <v>0</v>
      </c>
      <c r="K53" s="61">
        <v>0</v>
      </c>
      <c r="L53" s="61">
        <v>0</v>
      </c>
      <c r="M53" s="61">
        <v>0</v>
      </c>
      <c r="N53" s="61">
        <v>534</v>
      </c>
      <c r="O53" s="61">
        <v>0</v>
      </c>
      <c r="P53" s="61">
        <v>0</v>
      </c>
      <c r="Q53" s="61">
        <v>267</v>
      </c>
      <c r="R53" s="708"/>
      <c r="S53" s="61">
        <v>1010</v>
      </c>
      <c r="T53" s="150">
        <f>IF(NFI_Expiration=1,IF($A53&lt;VLOOKUP(I$5,NFI,5,0),1,0)*Data_NFI_t[[#This Row],[Hygiene Kit]],0)</f>
        <v>0</v>
      </c>
      <c r="U53" s="150">
        <f>IF(NFI_Expiration=1,IF($A53&lt;VLOOKUP(J$5,NFI,5,0),1,0)*Data_NFI_t[[#This Row],[NFI Core Kit]],0)</f>
        <v>0</v>
      </c>
      <c r="V53" s="131">
        <f>IF(NFI_Expiration=1,IF($A53&lt;VLOOKUP(K$5,NFI,5,0),1,0)*Data_NFI_t[[#This Row],[Sanitary Kit]],0)</f>
        <v>0</v>
      </c>
      <c r="W53" s="131">
        <f>IF(NFI_Expiration=1,IF($A53&lt;VLOOKUP(L$5,NFI,5,0),1,0)*Data_NFI_t[[#This Row],[Mosquito net]],0)</f>
        <v>0</v>
      </c>
      <c r="X53" s="131">
        <f>IF(NFI_Expiration=1,IF($A53&lt;VLOOKUP(M$5,NFI,5,0),1,0)*Data_NFI_t[[#This Row],[Tarpaulin]],0)</f>
        <v>0</v>
      </c>
      <c r="Y53" s="131">
        <f>IF(NFI_Expiration=1,IF($A53&lt;VLOOKUP(N$5,NFI,5,0),1,0)*Data_NFI_t[[#This Row],[Blanket]],0)</f>
        <v>534</v>
      </c>
      <c r="Z53" s="131">
        <f>IF(NFI_Expiration=1,IF($A53&lt;VLOOKUP(O$5,NFI,5,0),1,0)*Data_NFI_t[[#This Row],[Kitchen Set]],0)</f>
        <v>0</v>
      </c>
      <c r="AA53" s="131">
        <f>IF(NFI_Expiration=1,IF($A53&lt;VLOOKUP(P$5,NFI,5,0),1,0)*Data_NFI_t[[#This Row],[Complementary Kit]],0)</f>
        <v>0</v>
      </c>
      <c r="AB53" s="131">
        <f>IF(NFI_Expiration=1,IF($A53&lt;VLOOKUP(Q$5,NFI,5,0),1,0)*Data_NFI_t[[#This Row],[Plastic Bucket]],0)</f>
        <v>267</v>
      </c>
      <c r="AC53" s="131">
        <f>IF(NFI_Expiration=1,IF($A53&lt;VLOOKUP(R$5,NFI,5,0),1,0)*Data_NFI_t[[#This Row],[Jerry Can]],0)</f>
        <v>0</v>
      </c>
      <c r="AD53" s="150">
        <f>IF(NFI_Expiration=1,IF($A53&lt;VLOOKUP(S$5,NFI,5,0),1,0)*Data_NFI_t[[#This Row],[Plastic Mat]],0)*IF(Data_NFI_t[[#This Row],[Distribution Date]]&gt;"01-04-2014",1,2.5)</f>
        <v>2525</v>
      </c>
      <c r="AE53" s="150" t="str">
        <f ca="1">IFERROR(OFFSET(Camp_List[P_Code],MATCH(Data_NFI_t[[#This Row],[Camp Name]],Camp_List[Camp Name],0)-1,0,1,1),"")</f>
        <v>MMR012CMP110</v>
      </c>
      <c r="AF53" s="714" t="str">
        <f ca="1">IFERROR(OFFSET(Camp_List[Status],MATCH(Data_NFI_t[[#This Row],[Camp Name]],Camp_List[Camp Name],0)-1,0,1,1),"")</f>
        <v>Open</v>
      </c>
    </row>
    <row r="54" spans="1:32" s="102" customFormat="1" ht="15" customHeight="1" x14ac:dyDescent="0.25">
      <c r="A54" s="265">
        <f t="shared" si="0"/>
        <v>7</v>
      </c>
      <c r="B54" s="265">
        <v>2015</v>
      </c>
      <c r="C54" s="738">
        <v>42129</v>
      </c>
      <c r="D54" s="655" t="s">
        <v>288</v>
      </c>
      <c r="E54" s="654" t="s">
        <v>288</v>
      </c>
      <c r="F54" s="655" t="s">
        <v>7</v>
      </c>
      <c r="G54" s="31" t="s">
        <v>16</v>
      </c>
      <c r="H54" s="31" t="s">
        <v>624</v>
      </c>
      <c r="I54" s="31">
        <v>0</v>
      </c>
      <c r="J54" s="61">
        <v>7</v>
      </c>
      <c r="K54" s="61">
        <v>7</v>
      </c>
      <c r="L54" s="61">
        <v>14</v>
      </c>
      <c r="M54" s="61">
        <v>5</v>
      </c>
      <c r="N54" s="61">
        <v>14</v>
      </c>
      <c r="O54" s="61">
        <v>5</v>
      </c>
      <c r="P54" s="61">
        <v>0</v>
      </c>
      <c r="Q54" s="61">
        <v>7</v>
      </c>
      <c r="R54" s="708">
        <v>7</v>
      </c>
      <c r="S54" s="61">
        <v>21</v>
      </c>
      <c r="T54" s="150">
        <f>IF(NFI_Expiration=1,IF($A54&lt;VLOOKUP(I$5,NFI,5,0),1,0)*Data_NFI_t[[#This Row],[Hygiene Kit]],0)</f>
        <v>0</v>
      </c>
      <c r="U54" s="150">
        <f>IF(NFI_Expiration=1,IF($A54&lt;VLOOKUP(J$5,NFI,5,0),1,0)*Data_NFI_t[[#This Row],[NFI Core Kit]],0)</f>
        <v>7</v>
      </c>
      <c r="V54" s="131">
        <f>IF(NFI_Expiration=1,IF($A54&lt;VLOOKUP(K$5,NFI,5,0),1,0)*Data_NFI_t[[#This Row],[Sanitary Kit]],0)</f>
        <v>7</v>
      </c>
      <c r="W54" s="131">
        <f>IF(NFI_Expiration=1,IF($A54&lt;VLOOKUP(L$5,NFI,5,0),1,0)*Data_NFI_t[[#This Row],[Mosquito net]],0)</f>
        <v>14</v>
      </c>
      <c r="X54" s="131">
        <f>IF(NFI_Expiration=1,IF($A54&lt;VLOOKUP(M$5,NFI,5,0),1,0)*Data_NFI_t[[#This Row],[Tarpaulin]],0)</f>
        <v>5</v>
      </c>
      <c r="Y54" s="131">
        <f>IF(NFI_Expiration=1,IF($A54&lt;VLOOKUP(N$5,NFI,5,0),1,0)*Data_NFI_t[[#This Row],[Blanket]],0)</f>
        <v>14</v>
      </c>
      <c r="Z54" s="131">
        <f>IF(NFI_Expiration=1,IF($A54&lt;VLOOKUP(O$5,NFI,5,0),1,0)*Data_NFI_t[[#This Row],[Kitchen Set]],0)</f>
        <v>5</v>
      </c>
      <c r="AA54" s="131">
        <f>IF(NFI_Expiration=1,IF($A54&lt;VLOOKUP(P$5,NFI,5,0),1,0)*Data_NFI_t[[#This Row],[Complementary Kit]],0)</f>
        <v>0</v>
      </c>
      <c r="AB54" s="131">
        <f>IF(NFI_Expiration=1,IF($A54&lt;VLOOKUP(Q$5,NFI,5,0),1,0)*Data_NFI_t[[#This Row],[Plastic Bucket]],0)</f>
        <v>7</v>
      </c>
      <c r="AC54" s="131">
        <f>IF(NFI_Expiration=1,IF($A54&lt;VLOOKUP(R$5,NFI,5,0),1,0)*Data_NFI_t[[#This Row],[Jerry Can]],0)</f>
        <v>7</v>
      </c>
      <c r="AD54" s="150">
        <f>IF(NFI_Expiration=1,IF($A54&lt;VLOOKUP(S$5,NFI,5,0),1,0)*Data_NFI_t[[#This Row],[Plastic Mat]],0)*IF(Data_NFI_t[[#This Row],[Distribution Date]]&gt;"01-04-2014",1,2.5)</f>
        <v>52.5</v>
      </c>
      <c r="AE54" s="150" t="str">
        <f ca="1">IFERROR(OFFSET(Camp_List[P_Code],MATCH(Data_NFI_t[[#This Row],[Camp Name]],Camp_List[Camp Name],0)-1,0,1,1),"")</f>
        <v>MMR012CMP033</v>
      </c>
      <c r="AF54" s="714" t="str">
        <f ca="1">IFERROR(OFFSET(Camp_List[Status],MATCH(Data_NFI_t[[#This Row],[Camp Name]],Camp_List[Camp Name],0)-1,0,1,1),"")</f>
        <v>Open</v>
      </c>
    </row>
    <row r="55" spans="1:32" s="102" customFormat="1" ht="15" customHeight="1" x14ac:dyDescent="0.25">
      <c r="A55" s="265">
        <f t="shared" si="0"/>
        <v>5.6333333333333337</v>
      </c>
      <c r="B55" s="265">
        <v>2015</v>
      </c>
      <c r="C55" s="738">
        <v>42170</v>
      </c>
      <c r="D55" s="655" t="s">
        <v>288</v>
      </c>
      <c r="E55" s="654" t="s">
        <v>990</v>
      </c>
      <c r="F55" s="655" t="s">
        <v>7</v>
      </c>
      <c r="G55" s="31" t="s">
        <v>16</v>
      </c>
      <c r="H55" s="31" t="s">
        <v>410</v>
      </c>
      <c r="I55" s="31">
        <v>0</v>
      </c>
      <c r="J55" s="61">
        <v>0</v>
      </c>
      <c r="K55" s="61">
        <v>0</v>
      </c>
      <c r="L55" s="61">
        <v>0</v>
      </c>
      <c r="M55" s="61">
        <v>10</v>
      </c>
      <c r="N55" s="61">
        <v>0</v>
      </c>
      <c r="O55" s="61">
        <v>0</v>
      </c>
      <c r="P55" s="61">
        <v>0</v>
      </c>
      <c r="Q55" s="61">
        <v>0</v>
      </c>
      <c r="R55" s="708">
        <v>0</v>
      </c>
      <c r="S55" s="61">
        <v>0</v>
      </c>
      <c r="T55" s="150">
        <f>IF(NFI_Expiration=1,IF($A55&lt;VLOOKUP(I$5,NFI,5,0),1,0)*Data_NFI_t[[#This Row],[Hygiene Kit]],0)</f>
        <v>0</v>
      </c>
      <c r="U55" s="150">
        <f>IF(NFI_Expiration=1,IF($A55&lt;VLOOKUP(J$5,NFI,5,0),1,0)*Data_NFI_t[[#This Row],[NFI Core Kit]],0)</f>
        <v>0</v>
      </c>
      <c r="V55" s="131">
        <f>IF(NFI_Expiration=1,IF($A55&lt;VLOOKUP(K$5,NFI,5,0),1,0)*Data_NFI_t[[#This Row],[Sanitary Kit]],0)</f>
        <v>0</v>
      </c>
      <c r="W55" s="131">
        <f>IF(NFI_Expiration=1,IF($A55&lt;VLOOKUP(L$5,NFI,5,0),1,0)*Data_NFI_t[[#This Row],[Mosquito net]],0)</f>
        <v>0</v>
      </c>
      <c r="X55" s="131">
        <f>IF(NFI_Expiration=1,IF($A55&lt;VLOOKUP(M$5,NFI,5,0),1,0)*Data_NFI_t[[#This Row],[Tarpaulin]],0)</f>
        <v>10</v>
      </c>
      <c r="Y55" s="131">
        <f>IF(NFI_Expiration=1,IF($A55&lt;VLOOKUP(N$5,NFI,5,0),1,0)*Data_NFI_t[[#This Row],[Blanket]],0)</f>
        <v>0</v>
      </c>
      <c r="Z55" s="131">
        <f>IF(NFI_Expiration=1,IF($A55&lt;VLOOKUP(O$5,NFI,5,0),1,0)*Data_NFI_t[[#This Row],[Kitchen Set]],0)</f>
        <v>0</v>
      </c>
      <c r="AA55" s="131">
        <f>IF(NFI_Expiration=1,IF($A55&lt;VLOOKUP(P$5,NFI,5,0),1,0)*Data_NFI_t[[#This Row],[Complementary Kit]],0)</f>
        <v>0</v>
      </c>
      <c r="AB55" s="131">
        <f>IF(NFI_Expiration=1,IF($A55&lt;VLOOKUP(Q$5,NFI,5,0),1,0)*Data_NFI_t[[#This Row],[Plastic Bucket]],0)</f>
        <v>0</v>
      </c>
      <c r="AC55" s="131">
        <f>IF(NFI_Expiration=1,IF($A55&lt;VLOOKUP(R$5,NFI,5,0),1,0)*Data_NFI_t[[#This Row],[Jerry Can]],0)</f>
        <v>0</v>
      </c>
      <c r="AD55" s="150">
        <f>IF(NFI_Expiration=1,IF($A55&lt;VLOOKUP(S$5,NFI,5,0),1,0)*Data_NFI_t[[#This Row],[Plastic Mat]],0)*IF(Data_NFI_t[[#This Row],[Distribution Date]]&gt;"01-04-2014",1,2.5)</f>
        <v>0</v>
      </c>
      <c r="AE55" s="150" t="str">
        <f ca="1">IFERROR(OFFSET(Camp_List[P_Code],MATCH(Data_NFI_t[[#This Row],[Camp Name]],Camp_List[Camp Name],0)-1,0,1,1),"")</f>
        <v>MMR012CMP110</v>
      </c>
      <c r="AF55" s="714" t="str">
        <f ca="1">IFERROR(OFFSET(Camp_List[Status],MATCH(Data_NFI_t[[#This Row],[Camp Name]],Camp_List[Camp Name],0)-1,0,1,1),"")</f>
        <v>Open</v>
      </c>
    </row>
    <row r="56" spans="1:32" s="102" customFormat="1" ht="15" customHeight="1" x14ac:dyDescent="0.25">
      <c r="A56" s="265">
        <f t="shared" si="0"/>
        <v>5.6333333333333337</v>
      </c>
      <c r="B56" s="265">
        <v>2015</v>
      </c>
      <c r="C56" s="738">
        <v>42170</v>
      </c>
      <c r="D56" s="655" t="s">
        <v>288</v>
      </c>
      <c r="E56" s="654" t="s">
        <v>990</v>
      </c>
      <c r="F56" s="655" t="s">
        <v>7</v>
      </c>
      <c r="G56" s="31" t="s">
        <v>16</v>
      </c>
      <c r="H56" s="31" t="s">
        <v>624</v>
      </c>
      <c r="I56" s="31">
        <v>0</v>
      </c>
      <c r="J56" s="61">
        <v>0</v>
      </c>
      <c r="K56" s="61">
        <v>0</v>
      </c>
      <c r="L56" s="61">
        <v>0</v>
      </c>
      <c r="M56" s="61">
        <v>20</v>
      </c>
      <c r="N56" s="61">
        <v>0</v>
      </c>
      <c r="O56" s="61">
        <v>0</v>
      </c>
      <c r="P56" s="61">
        <v>0</v>
      </c>
      <c r="Q56" s="61">
        <v>0</v>
      </c>
      <c r="R56" s="708">
        <v>0</v>
      </c>
      <c r="S56" s="61">
        <v>0</v>
      </c>
      <c r="T56" s="150">
        <f>IF(NFI_Expiration=1,IF($A56&lt;VLOOKUP(I$5,NFI,5,0),1,0)*Data_NFI_t[[#This Row],[Hygiene Kit]],0)</f>
        <v>0</v>
      </c>
      <c r="U56" s="150">
        <f>IF(NFI_Expiration=1,IF($A56&lt;VLOOKUP(J$5,NFI,5,0),1,0)*Data_NFI_t[[#This Row],[NFI Core Kit]],0)</f>
        <v>0</v>
      </c>
      <c r="V56" s="131">
        <f>IF(NFI_Expiration=1,IF($A56&lt;VLOOKUP(K$5,NFI,5,0),1,0)*Data_NFI_t[[#This Row],[Sanitary Kit]],0)</f>
        <v>0</v>
      </c>
      <c r="W56" s="131">
        <f>IF(NFI_Expiration=1,IF($A56&lt;VLOOKUP(L$5,NFI,5,0),1,0)*Data_NFI_t[[#This Row],[Mosquito net]],0)</f>
        <v>0</v>
      </c>
      <c r="X56" s="131">
        <f>IF(NFI_Expiration=1,IF($A56&lt;VLOOKUP(M$5,NFI,5,0),1,0)*Data_NFI_t[[#This Row],[Tarpaulin]],0)</f>
        <v>20</v>
      </c>
      <c r="Y56" s="131">
        <f>IF(NFI_Expiration=1,IF($A56&lt;VLOOKUP(N$5,NFI,5,0),1,0)*Data_NFI_t[[#This Row],[Blanket]],0)</f>
        <v>0</v>
      </c>
      <c r="Z56" s="131">
        <f>IF(NFI_Expiration=1,IF($A56&lt;VLOOKUP(O$5,NFI,5,0),1,0)*Data_NFI_t[[#This Row],[Kitchen Set]],0)</f>
        <v>0</v>
      </c>
      <c r="AA56" s="131">
        <f>IF(NFI_Expiration=1,IF($A56&lt;VLOOKUP(P$5,NFI,5,0),1,0)*Data_NFI_t[[#This Row],[Complementary Kit]],0)</f>
        <v>0</v>
      </c>
      <c r="AB56" s="131">
        <f>IF(NFI_Expiration=1,IF($A56&lt;VLOOKUP(Q$5,NFI,5,0),1,0)*Data_NFI_t[[#This Row],[Plastic Bucket]],0)</f>
        <v>0</v>
      </c>
      <c r="AC56" s="131">
        <f>IF(NFI_Expiration=1,IF($A56&lt;VLOOKUP(R$5,NFI,5,0),1,0)*Data_NFI_t[[#This Row],[Jerry Can]],0)</f>
        <v>0</v>
      </c>
      <c r="AD56" s="150">
        <f>IF(NFI_Expiration=1,IF($A56&lt;VLOOKUP(S$5,NFI,5,0),1,0)*Data_NFI_t[[#This Row],[Plastic Mat]],0)*IF(Data_NFI_t[[#This Row],[Distribution Date]]&gt;"01-04-2014",1,2.5)</f>
        <v>0</v>
      </c>
      <c r="AE56" s="150" t="str">
        <f ca="1">IFERROR(OFFSET(Camp_List[P_Code],MATCH(Data_NFI_t[[#This Row],[Camp Name]],Camp_List[Camp Name],0)-1,0,1,1),"")</f>
        <v>MMR012CMP033</v>
      </c>
      <c r="AF56" s="714" t="str">
        <f ca="1">IFERROR(OFFSET(Camp_List[Status],MATCH(Data_NFI_t[[#This Row],[Camp Name]],Camp_List[Camp Name],0)-1,0,1,1),"")</f>
        <v>Open</v>
      </c>
    </row>
    <row r="57" spans="1:32" s="102" customFormat="1" ht="15" customHeight="1" x14ac:dyDescent="0.25">
      <c r="A57" s="265">
        <f t="shared" si="0"/>
        <v>11.133333333333333</v>
      </c>
      <c r="B57" s="265">
        <f>YEAR(Data_NFI_t[[#This Row],[Distribution Date]])</f>
        <v>2015</v>
      </c>
      <c r="C57" s="738">
        <v>42005</v>
      </c>
      <c r="D57" s="655" t="s">
        <v>733</v>
      </c>
      <c r="E57" s="654" t="s">
        <v>733</v>
      </c>
      <c r="F57" s="655" t="s">
        <v>7</v>
      </c>
      <c r="G57" s="31" t="s">
        <v>915</v>
      </c>
      <c r="H57" s="31" t="s">
        <v>37</v>
      </c>
      <c r="I57" s="31">
        <v>42</v>
      </c>
      <c r="J57" s="61"/>
      <c r="K57" s="61"/>
      <c r="L57" s="61"/>
      <c r="M57" s="61"/>
      <c r="N57" s="61"/>
      <c r="O57" s="61"/>
      <c r="P57" s="61"/>
      <c r="Q57" s="61"/>
      <c r="R57" s="708"/>
      <c r="S57" s="61"/>
      <c r="T57" s="150">
        <f>IF(NFI_Expiration=1,IF($A57&lt;VLOOKUP(I$5,NFI,5,0),1,0)*Data_NFI_t[[#This Row],[Hygiene Kit]],0)</f>
        <v>42</v>
      </c>
      <c r="U57" s="150">
        <f>IF(NFI_Expiration=1,IF($A57&lt;VLOOKUP(J$5,NFI,5,0),1,0)*Data_NFI_t[[#This Row],[NFI Core Kit]],0)</f>
        <v>0</v>
      </c>
      <c r="V57" s="131">
        <f>IF(NFI_Expiration=1,IF($A57&lt;VLOOKUP(K$5,NFI,5,0),1,0)*Data_NFI_t[[#This Row],[Sanitary Kit]],0)</f>
        <v>0</v>
      </c>
      <c r="W57" s="131">
        <f>IF(NFI_Expiration=1,IF($A57&lt;VLOOKUP(L$5,NFI,5,0),1,0)*Data_NFI_t[[#This Row],[Mosquito net]],0)</f>
        <v>0</v>
      </c>
      <c r="X57" s="131">
        <f>IF(NFI_Expiration=1,IF($A57&lt;VLOOKUP(M$5,NFI,5,0),1,0)*Data_NFI_t[[#This Row],[Tarpaulin]],0)</f>
        <v>0</v>
      </c>
      <c r="Y57" s="131">
        <f>IF(NFI_Expiration=1,IF($A57&lt;VLOOKUP(N$5,NFI,5,0),1,0)*Data_NFI_t[[#This Row],[Blanket]],0)</f>
        <v>0</v>
      </c>
      <c r="Z57" s="131">
        <f>IF(NFI_Expiration=1,IF($A57&lt;VLOOKUP(O$5,NFI,5,0),1,0)*Data_NFI_t[[#This Row],[Kitchen Set]],0)</f>
        <v>0</v>
      </c>
      <c r="AA57" s="131">
        <f>IF(NFI_Expiration=1,IF($A57&lt;VLOOKUP(P$5,NFI,5,0),1,0)*Data_NFI_t[[#This Row],[Complementary Kit]],0)</f>
        <v>0</v>
      </c>
      <c r="AB57" s="131">
        <f>IF(NFI_Expiration=1,IF($A57&lt;VLOOKUP(Q$5,NFI,5,0),1,0)*Data_NFI_t[[#This Row],[Plastic Bucket]],0)</f>
        <v>0</v>
      </c>
      <c r="AC57" s="131">
        <f>IF(NFI_Expiration=1,IF($A57&lt;VLOOKUP(R$5,NFI,5,0),1,0)*Data_NFI_t[[#This Row],[Jerry Can]],0)</f>
        <v>0</v>
      </c>
      <c r="AD57" s="150">
        <f>IF(NFI_Expiration=1,IF($A57&lt;VLOOKUP(S$5,NFI,5,0),1,0)*Data_NFI_t[[#This Row],[Plastic Mat]],0)*IF(Data_NFI_t[[#This Row],[Distribution Date]]&gt;"01-04-2014",1,2.5)</f>
        <v>0</v>
      </c>
      <c r="AE57" s="150" t="str">
        <f ca="1">IFERROR(OFFSET(Camp_List[P_Code],MATCH(Data_NFI_t[[#This Row],[Camp Name]],Camp_List[Camp Name],0)-1,0,1,1),"")</f>
        <v>MMR012CMP013</v>
      </c>
      <c r="AF57" s="714" t="str">
        <f ca="1">IFERROR(OFFSET(Camp_List[Status],MATCH(Data_NFI_t[[#This Row],[Camp Name]],Camp_List[Camp Name],0)-1,0,1,1),"")</f>
        <v>Open</v>
      </c>
    </row>
    <row r="58" spans="1:32" s="102" customFormat="1" ht="15" customHeight="1" x14ac:dyDescent="0.25">
      <c r="A58" s="265">
        <f t="shared" si="0"/>
        <v>11.133333333333333</v>
      </c>
      <c r="B58" s="265">
        <f>YEAR(Data_NFI_t[[#This Row],[Distribution Date]])</f>
        <v>2015</v>
      </c>
      <c r="C58" s="738">
        <v>42005</v>
      </c>
      <c r="D58" s="655" t="s">
        <v>733</v>
      </c>
      <c r="E58" s="654" t="s">
        <v>733</v>
      </c>
      <c r="F58" s="655" t="s">
        <v>7</v>
      </c>
      <c r="G58" s="31" t="s">
        <v>915</v>
      </c>
      <c r="H58" s="31" t="s">
        <v>38</v>
      </c>
      <c r="I58" s="31">
        <v>682</v>
      </c>
      <c r="J58" s="61"/>
      <c r="K58" s="61"/>
      <c r="L58" s="61"/>
      <c r="M58" s="61"/>
      <c r="N58" s="61"/>
      <c r="O58" s="61"/>
      <c r="P58" s="61"/>
      <c r="Q58" s="61"/>
      <c r="R58" s="708"/>
      <c r="S58" s="61"/>
      <c r="T58" s="150">
        <f>IF(NFI_Expiration=1,IF($A58&lt;VLOOKUP(I$5,NFI,5,0),1,0)*Data_NFI_t[[#This Row],[Hygiene Kit]],0)</f>
        <v>682</v>
      </c>
      <c r="U58" s="150">
        <f>IF(NFI_Expiration=1,IF($A58&lt;VLOOKUP(J$5,NFI,5,0),1,0)*Data_NFI_t[[#This Row],[NFI Core Kit]],0)</f>
        <v>0</v>
      </c>
      <c r="V58" s="131">
        <f>IF(NFI_Expiration=1,IF($A58&lt;VLOOKUP(K$5,NFI,5,0),1,0)*Data_NFI_t[[#This Row],[Sanitary Kit]],0)</f>
        <v>0</v>
      </c>
      <c r="W58" s="131">
        <f>IF(NFI_Expiration=1,IF($A58&lt;VLOOKUP(L$5,NFI,5,0),1,0)*Data_NFI_t[[#This Row],[Mosquito net]],0)</f>
        <v>0</v>
      </c>
      <c r="X58" s="131">
        <f>IF(NFI_Expiration=1,IF($A58&lt;VLOOKUP(M$5,NFI,5,0),1,0)*Data_NFI_t[[#This Row],[Tarpaulin]],0)</f>
        <v>0</v>
      </c>
      <c r="Y58" s="131">
        <f>IF(NFI_Expiration=1,IF($A58&lt;VLOOKUP(N$5,NFI,5,0),1,0)*Data_NFI_t[[#This Row],[Blanket]],0)</f>
        <v>0</v>
      </c>
      <c r="Z58" s="131">
        <f>IF(NFI_Expiration=1,IF($A58&lt;VLOOKUP(O$5,NFI,5,0),1,0)*Data_NFI_t[[#This Row],[Kitchen Set]],0)</f>
        <v>0</v>
      </c>
      <c r="AA58" s="131">
        <f>IF(NFI_Expiration=1,IF($A58&lt;VLOOKUP(P$5,NFI,5,0),1,0)*Data_NFI_t[[#This Row],[Complementary Kit]],0)</f>
        <v>0</v>
      </c>
      <c r="AB58" s="131">
        <f>IF(NFI_Expiration=1,IF($A58&lt;VLOOKUP(Q$5,NFI,5,0),1,0)*Data_NFI_t[[#This Row],[Plastic Bucket]],0)</f>
        <v>0</v>
      </c>
      <c r="AC58" s="131">
        <f>IF(NFI_Expiration=1,IF($A58&lt;VLOOKUP(R$5,NFI,5,0),1,0)*Data_NFI_t[[#This Row],[Jerry Can]],0)</f>
        <v>0</v>
      </c>
      <c r="AD58" s="150">
        <f>IF(NFI_Expiration=1,IF($A58&lt;VLOOKUP(S$5,NFI,5,0),1,0)*Data_NFI_t[[#This Row],[Plastic Mat]],0)*IF(Data_NFI_t[[#This Row],[Distribution Date]]&gt;"01-04-2014",1,2.5)</f>
        <v>0</v>
      </c>
      <c r="AE58" s="150" t="str">
        <f ca="1">IFERROR(OFFSET(Camp_List[P_Code],MATCH(Data_NFI_t[[#This Row],[Camp Name]],Camp_List[Camp Name],0)-1,0,1,1),"")</f>
        <v>MMR012CMP014</v>
      </c>
      <c r="AF58" s="714" t="str">
        <f ca="1">IFERROR(OFFSET(Camp_List[Status],MATCH(Data_NFI_t[[#This Row],[Camp Name]],Camp_List[Camp Name],0)-1,0,1,1),"")</f>
        <v>Open</v>
      </c>
    </row>
    <row r="59" spans="1:32" s="102" customFormat="1" ht="15" customHeight="1" x14ac:dyDescent="0.25">
      <c r="A59" s="265">
        <f t="shared" si="0"/>
        <v>11.433333333333334</v>
      </c>
      <c r="B59" s="265">
        <f>YEAR(Data_NFI_t[[#This Row],[Distribution Date]])</f>
        <v>2014</v>
      </c>
      <c r="C59" s="738">
        <v>41996</v>
      </c>
      <c r="D59" s="655" t="s">
        <v>288</v>
      </c>
      <c r="E59" s="654" t="s">
        <v>288</v>
      </c>
      <c r="F59" s="655" t="s">
        <v>7</v>
      </c>
      <c r="G59" s="31" t="s">
        <v>20</v>
      </c>
      <c r="H59" s="31" t="s">
        <v>104</v>
      </c>
      <c r="I59" s="31">
        <v>27</v>
      </c>
      <c r="J59" s="61">
        <v>27</v>
      </c>
      <c r="K59" s="61">
        <v>27</v>
      </c>
      <c r="L59" s="61">
        <v>54</v>
      </c>
      <c r="M59" s="61">
        <v>0</v>
      </c>
      <c r="N59" s="61">
        <v>54</v>
      </c>
      <c r="O59" s="61">
        <v>17</v>
      </c>
      <c r="P59" s="61">
        <v>0</v>
      </c>
      <c r="Q59" s="61">
        <v>27</v>
      </c>
      <c r="R59" s="708"/>
      <c r="S59" s="61">
        <v>85</v>
      </c>
      <c r="T59" s="150">
        <f>IF(NFI_Expiration=1,IF($A59&lt;VLOOKUP(I$5,NFI,5,0),1,0)*Data_NFI_t[[#This Row],[Hygiene Kit]],0)</f>
        <v>27</v>
      </c>
      <c r="U59" s="150">
        <f>IF(NFI_Expiration=1,IF($A59&lt;VLOOKUP(J$5,NFI,5,0),1,0)*Data_NFI_t[[#This Row],[NFI Core Kit]],0)</f>
        <v>27</v>
      </c>
      <c r="V59" s="131">
        <f>IF(NFI_Expiration=1,IF($A59&lt;VLOOKUP(K$5,NFI,5,0),1,0)*Data_NFI_t[[#This Row],[Sanitary Kit]],0)</f>
        <v>27</v>
      </c>
      <c r="W59" s="131">
        <f>IF(NFI_Expiration=1,IF($A59&lt;VLOOKUP(L$5,NFI,5,0),1,0)*Data_NFI_t[[#This Row],[Mosquito net]],0)</f>
        <v>54</v>
      </c>
      <c r="X59" s="131">
        <f>IF(NFI_Expiration=1,IF($A59&lt;VLOOKUP(M$5,NFI,5,0),1,0)*Data_NFI_t[[#This Row],[Tarpaulin]],0)</f>
        <v>0</v>
      </c>
      <c r="Y59" s="131">
        <f>IF(NFI_Expiration=1,IF($A59&lt;VLOOKUP(N$5,NFI,5,0),1,0)*Data_NFI_t[[#This Row],[Blanket]],0)</f>
        <v>54</v>
      </c>
      <c r="Z59" s="131">
        <f>IF(NFI_Expiration=1,IF($A59&lt;VLOOKUP(O$5,NFI,5,0),1,0)*Data_NFI_t[[#This Row],[Kitchen Set]],0)</f>
        <v>17</v>
      </c>
      <c r="AA59" s="131">
        <f>IF(NFI_Expiration=1,IF($A59&lt;VLOOKUP(P$5,NFI,5,0),1,0)*Data_NFI_t[[#This Row],[Complementary Kit]],0)</f>
        <v>0</v>
      </c>
      <c r="AB59" s="131">
        <f>IF(NFI_Expiration=1,IF($A59&lt;VLOOKUP(Q$5,NFI,5,0),1,0)*Data_NFI_t[[#This Row],[Plastic Bucket]],0)</f>
        <v>27</v>
      </c>
      <c r="AC59" s="131">
        <f>IF(NFI_Expiration=1,IF($A59&lt;VLOOKUP(R$5,NFI,5,0),1,0)*Data_NFI_t[[#This Row],[Jerry Can]],0)</f>
        <v>0</v>
      </c>
      <c r="AD59" s="150">
        <f>IF(NFI_Expiration=1,IF($A59&lt;VLOOKUP(S$5,NFI,5,0),1,0)*Data_NFI_t[[#This Row],[Plastic Mat]],0)*IF(Data_NFI_t[[#This Row],[Distribution Date]]&gt;"01-04-2014",1,2.5)</f>
        <v>212.5</v>
      </c>
      <c r="AE59" s="150" t="str">
        <f ca="1">IFERROR(OFFSET(Camp_List[P_Code],MATCH(Data_NFI_t[[#This Row],[Camp Name]],Camp_List[Camp Name],0)-1,0,1,1),"")</f>
        <v>MMR012CMP082</v>
      </c>
      <c r="AF59" s="714" t="str">
        <f ca="1">IFERROR(OFFSET(Camp_List[Status],MATCH(Data_NFI_t[[#This Row],[Camp Name]],Camp_List[Camp Name],0)-1,0,1,1),"")</f>
        <v>Open</v>
      </c>
    </row>
    <row r="60" spans="1:32" s="102" customFormat="1" ht="15" customHeight="1" x14ac:dyDescent="0.25">
      <c r="A60" s="265">
        <f t="shared" si="0"/>
        <v>11.6</v>
      </c>
      <c r="B60" s="265">
        <f>YEAR(Data_NFI_t[[#This Row],[Distribution Date]])</f>
        <v>2014</v>
      </c>
      <c r="C60" s="738">
        <v>41991</v>
      </c>
      <c r="D60" s="655" t="s">
        <v>288</v>
      </c>
      <c r="E60" s="654" t="s">
        <v>288</v>
      </c>
      <c r="F60" s="655" t="s">
        <v>7</v>
      </c>
      <c r="G60" s="31" t="s">
        <v>20</v>
      </c>
      <c r="H60" s="31" t="s">
        <v>108</v>
      </c>
      <c r="I60" s="31">
        <v>108</v>
      </c>
      <c r="J60" s="61">
        <v>108</v>
      </c>
      <c r="K60" s="61">
        <v>108</v>
      </c>
      <c r="L60" s="61">
        <v>216</v>
      </c>
      <c r="M60" s="61">
        <v>0</v>
      </c>
      <c r="N60" s="61">
        <v>216</v>
      </c>
      <c r="O60" s="61">
        <v>68</v>
      </c>
      <c r="P60" s="61">
        <v>0</v>
      </c>
      <c r="Q60" s="61">
        <v>108</v>
      </c>
      <c r="R60" s="708"/>
      <c r="S60" s="61">
        <v>340</v>
      </c>
      <c r="T60" s="150">
        <f>IF(NFI_Expiration=1,IF($A60&lt;VLOOKUP(I$5,NFI,5,0),1,0)*Data_NFI_t[[#This Row],[Hygiene Kit]],0)</f>
        <v>108</v>
      </c>
      <c r="U60" s="150">
        <f>IF(NFI_Expiration=1,IF($A60&lt;VLOOKUP(J$5,NFI,5,0),1,0)*Data_NFI_t[[#This Row],[NFI Core Kit]],0)</f>
        <v>108</v>
      </c>
      <c r="V60" s="131">
        <f>IF(NFI_Expiration=1,IF($A60&lt;VLOOKUP(K$5,NFI,5,0),1,0)*Data_NFI_t[[#This Row],[Sanitary Kit]],0)</f>
        <v>108</v>
      </c>
      <c r="W60" s="131">
        <f>IF(NFI_Expiration=1,IF($A60&lt;VLOOKUP(L$5,NFI,5,0),1,0)*Data_NFI_t[[#This Row],[Mosquito net]],0)</f>
        <v>216</v>
      </c>
      <c r="X60" s="131">
        <f>IF(NFI_Expiration=1,IF($A60&lt;VLOOKUP(M$5,NFI,5,0),1,0)*Data_NFI_t[[#This Row],[Tarpaulin]],0)</f>
        <v>0</v>
      </c>
      <c r="Y60" s="131">
        <f>IF(NFI_Expiration=1,IF($A60&lt;VLOOKUP(N$5,NFI,5,0),1,0)*Data_NFI_t[[#This Row],[Blanket]],0)</f>
        <v>216</v>
      </c>
      <c r="Z60" s="131">
        <f>IF(NFI_Expiration=1,IF($A60&lt;VLOOKUP(O$5,NFI,5,0),1,0)*Data_NFI_t[[#This Row],[Kitchen Set]],0)</f>
        <v>68</v>
      </c>
      <c r="AA60" s="131">
        <f>IF(NFI_Expiration=1,IF($A60&lt;VLOOKUP(P$5,NFI,5,0),1,0)*Data_NFI_t[[#This Row],[Complementary Kit]],0)</f>
        <v>0</v>
      </c>
      <c r="AB60" s="131">
        <f>IF(NFI_Expiration=1,IF($A60&lt;VLOOKUP(Q$5,NFI,5,0),1,0)*Data_NFI_t[[#This Row],[Plastic Bucket]],0)</f>
        <v>108</v>
      </c>
      <c r="AC60" s="131">
        <f>IF(NFI_Expiration=1,IF($A60&lt;VLOOKUP(R$5,NFI,5,0),1,0)*Data_NFI_t[[#This Row],[Jerry Can]],0)</f>
        <v>0</v>
      </c>
      <c r="AD60" s="150">
        <f>IF(NFI_Expiration=1,IF($A60&lt;VLOOKUP(S$5,NFI,5,0),1,0)*Data_NFI_t[[#This Row],[Plastic Mat]],0)*IF(Data_NFI_t[[#This Row],[Distribution Date]]&gt;"01-04-2014",1,2.5)</f>
        <v>850</v>
      </c>
      <c r="AE60" s="150" t="str">
        <f ca="1">IFERROR(OFFSET(Camp_List[P_Code],MATCH(Data_NFI_t[[#This Row],[Camp Name]],Camp_List[Camp Name],0)-1,0,1,1),"")</f>
        <v>MMR012CMP086</v>
      </c>
      <c r="AF60" s="714" t="str">
        <f ca="1">IFERROR(OFFSET(Camp_List[Status],MATCH(Data_NFI_t[[#This Row],[Camp Name]],Camp_List[Camp Name],0)-1,0,1,1),"")</f>
        <v>Open</v>
      </c>
    </row>
    <row r="61" spans="1:32" s="102" customFormat="1" ht="15" customHeight="1" x14ac:dyDescent="0.25">
      <c r="A61" s="265">
        <f t="shared" si="0"/>
        <v>11.6</v>
      </c>
      <c r="B61" s="265">
        <f>YEAR(Data_NFI_t[[#This Row],[Distribution Date]])</f>
        <v>2014</v>
      </c>
      <c r="C61" s="738">
        <v>41991</v>
      </c>
      <c r="D61" s="655" t="s">
        <v>288</v>
      </c>
      <c r="E61" s="654" t="s">
        <v>288</v>
      </c>
      <c r="F61" s="655" t="s">
        <v>7</v>
      </c>
      <c r="G61" s="31" t="s">
        <v>20</v>
      </c>
      <c r="H61" s="31" t="s">
        <v>922</v>
      </c>
      <c r="I61" s="31">
        <v>164</v>
      </c>
      <c r="J61" s="61">
        <v>164</v>
      </c>
      <c r="K61" s="61">
        <v>164</v>
      </c>
      <c r="L61" s="61">
        <v>328</v>
      </c>
      <c r="M61" s="61">
        <v>0</v>
      </c>
      <c r="N61" s="61">
        <v>328</v>
      </c>
      <c r="O61" s="61">
        <v>92</v>
      </c>
      <c r="P61" s="61">
        <v>0</v>
      </c>
      <c r="Q61" s="61">
        <v>164</v>
      </c>
      <c r="R61" s="708"/>
      <c r="S61" s="61">
        <v>460</v>
      </c>
      <c r="T61" s="150">
        <f>IF(NFI_Expiration=1,IF($A61&lt;VLOOKUP(I$5,NFI,5,0),1,0)*Data_NFI_t[[#This Row],[Hygiene Kit]],0)</f>
        <v>164</v>
      </c>
      <c r="U61" s="150">
        <f>IF(NFI_Expiration=1,IF($A61&lt;VLOOKUP(J$5,NFI,5,0),1,0)*Data_NFI_t[[#This Row],[NFI Core Kit]],0)</f>
        <v>164</v>
      </c>
      <c r="V61" s="131">
        <f>IF(NFI_Expiration=1,IF($A61&lt;VLOOKUP(K$5,NFI,5,0),1,0)*Data_NFI_t[[#This Row],[Sanitary Kit]],0)</f>
        <v>164</v>
      </c>
      <c r="W61" s="131">
        <f>IF(NFI_Expiration=1,IF($A61&lt;VLOOKUP(L$5,NFI,5,0),1,0)*Data_NFI_t[[#This Row],[Mosquito net]],0)</f>
        <v>328</v>
      </c>
      <c r="X61" s="131">
        <f>IF(NFI_Expiration=1,IF($A61&lt;VLOOKUP(M$5,NFI,5,0),1,0)*Data_NFI_t[[#This Row],[Tarpaulin]],0)</f>
        <v>0</v>
      </c>
      <c r="Y61" s="131">
        <f>IF(NFI_Expiration=1,IF($A61&lt;VLOOKUP(N$5,NFI,5,0),1,0)*Data_NFI_t[[#This Row],[Blanket]],0)</f>
        <v>328</v>
      </c>
      <c r="Z61" s="131">
        <f>IF(NFI_Expiration=1,IF($A61&lt;VLOOKUP(O$5,NFI,5,0),1,0)*Data_NFI_t[[#This Row],[Kitchen Set]],0)</f>
        <v>92</v>
      </c>
      <c r="AA61" s="131">
        <f>IF(NFI_Expiration=1,IF($A61&lt;VLOOKUP(P$5,NFI,5,0),1,0)*Data_NFI_t[[#This Row],[Complementary Kit]],0)</f>
        <v>0</v>
      </c>
      <c r="AB61" s="131">
        <f>IF(NFI_Expiration=1,IF($A61&lt;VLOOKUP(Q$5,NFI,5,0),1,0)*Data_NFI_t[[#This Row],[Plastic Bucket]],0)</f>
        <v>164</v>
      </c>
      <c r="AC61" s="131">
        <f>IF(NFI_Expiration=1,IF($A61&lt;VLOOKUP(R$5,NFI,5,0),1,0)*Data_NFI_t[[#This Row],[Jerry Can]],0)</f>
        <v>0</v>
      </c>
      <c r="AD61" s="150">
        <f>IF(NFI_Expiration=1,IF($A61&lt;VLOOKUP(S$5,NFI,5,0),1,0)*Data_NFI_t[[#This Row],[Plastic Mat]],0)*IF(Data_NFI_t[[#This Row],[Distribution Date]]&gt;"01-04-2014",1,2.5)</f>
        <v>1150</v>
      </c>
      <c r="AE61" s="150" t="str">
        <f ca="1">IFERROR(OFFSET(Camp_List[P_Code],MATCH(Data_NFI_t[[#This Row],[Camp Name]],Camp_List[Camp Name],0)-1,0,1,1),"")</f>
        <v>MMR012CMP095</v>
      </c>
      <c r="AF61" s="714" t="str">
        <f ca="1">IFERROR(OFFSET(Camp_List[Status],MATCH(Data_NFI_t[[#This Row],[Camp Name]],Camp_List[Camp Name],0)-1,0,1,1),"")</f>
        <v>Open</v>
      </c>
    </row>
    <row r="62" spans="1:32" s="102" customFormat="1" ht="15" customHeight="1" x14ac:dyDescent="0.25">
      <c r="A62" s="265">
        <f t="shared" si="0"/>
        <v>11.633333333333333</v>
      </c>
      <c r="B62" s="265">
        <f>YEAR(Data_NFI_t[[#This Row],[Distribution Date]])</f>
        <v>2014</v>
      </c>
      <c r="C62" s="738">
        <v>41990</v>
      </c>
      <c r="D62" s="655" t="s">
        <v>288</v>
      </c>
      <c r="E62" s="654" t="s">
        <v>288</v>
      </c>
      <c r="F62" s="655" t="s">
        <v>7</v>
      </c>
      <c r="G62" s="31" t="s">
        <v>20</v>
      </c>
      <c r="H62" s="31" t="s">
        <v>920</v>
      </c>
      <c r="I62" s="31">
        <v>315</v>
      </c>
      <c r="J62" s="61">
        <v>315</v>
      </c>
      <c r="K62" s="61">
        <v>315</v>
      </c>
      <c r="L62" s="61">
        <v>630</v>
      </c>
      <c r="M62" s="61">
        <v>0</v>
      </c>
      <c r="N62" s="61">
        <v>630</v>
      </c>
      <c r="O62" s="61">
        <v>186</v>
      </c>
      <c r="P62" s="61">
        <v>0</v>
      </c>
      <c r="Q62" s="61">
        <v>315</v>
      </c>
      <c r="R62" s="708"/>
      <c r="S62" s="61">
        <v>930</v>
      </c>
      <c r="T62" s="150">
        <f>IF(NFI_Expiration=1,IF($A62&lt;VLOOKUP(I$5,NFI,5,0),1,0)*Data_NFI_t[[#This Row],[Hygiene Kit]],0)</f>
        <v>315</v>
      </c>
      <c r="U62" s="150">
        <f>IF(NFI_Expiration=1,IF($A62&lt;VLOOKUP(J$5,NFI,5,0),1,0)*Data_NFI_t[[#This Row],[NFI Core Kit]],0)</f>
        <v>315</v>
      </c>
      <c r="V62" s="131">
        <f>IF(NFI_Expiration=1,IF($A62&lt;VLOOKUP(K$5,NFI,5,0),1,0)*Data_NFI_t[[#This Row],[Sanitary Kit]],0)</f>
        <v>315</v>
      </c>
      <c r="W62" s="131">
        <f>IF(NFI_Expiration=1,IF($A62&lt;VLOOKUP(L$5,NFI,5,0),1,0)*Data_NFI_t[[#This Row],[Mosquito net]],0)</f>
        <v>630</v>
      </c>
      <c r="X62" s="131">
        <f>IF(NFI_Expiration=1,IF($A62&lt;VLOOKUP(M$5,NFI,5,0),1,0)*Data_NFI_t[[#This Row],[Tarpaulin]],0)</f>
        <v>0</v>
      </c>
      <c r="Y62" s="131">
        <f>IF(NFI_Expiration=1,IF($A62&lt;VLOOKUP(N$5,NFI,5,0),1,0)*Data_NFI_t[[#This Row],[Blanket]],0)</f>
        <v>630</v>
      </c>
      <c r="Z62" s="131">
        <f>IF(NFI_Expiration=1,IF($A62&lt;VLOOKUP(O$5,NFI,5,0),1,0)*Data_NFI_t[[#This Row],[Kitchen Set]],0)</f>
        <v>186</v>
      </c>
      <c r="AA62" s="131">
        <f>IF(NFI_Expiration=1,IF($A62&lt;VLOOKUP(P$5,NFI,5,0),1,0)*Data_NFI_t[[#This Row],[Complementary Kit]],0)</f>
        <v>0</v>
      </c>
      <c r="AB62" s="131">
        <f>IF(NFI_Expiration=1,IF($A62&lt;VLOOKUP(Q$5,NFI,5,0),1,0)*Data_NFI_t[[#This Row],[Plastic Bucket]],0)</f>
        <v>315</v>
      </c>
      <c r="AC62" s="131">
        <f>IF(NFI_Expiration=1,IF($A62&lt;VLOOKUP(R$5,NFI,5,0),1,0)*Data_NFI_t[[#This Row],[Jerry Can]],0)</f>
        <v>0</v>
      </c>
      <c r="AD62" s="150">
        <f>IF(NFI_Expiration=1,IF($A62&lt;VLOOKUP(S$5,NFI,5,0),1,0)*Data_NFI_t[[#This Row],[Plastic Mat]],0)*IF(Data_NFI_t[[#This Row],[Distribution Date]]&gt;"01-04-2014",1,2.5)</f>
        <v>2325</v>
      </c>
      <c r="AE62" s="150" t="str">
        <f ca="1">IFERROR(OFFSET(Camp_List[P_Code],MATCH(Data_NFI_t[[#This Row],[Camp Name]],Camp_List[Camp Name],0)-1,0,1,1),"")</f>
        <v>MMR012CMP083</v>
      </c>
      <c r="AF62" s="714" t="str">
        <f ca="1">IFERROR(OFFSET(Camp_List[Status],MATCH(Data_NFI_t[[#This Row],[Camp Name]],Camp_List[Camp Name],0)-1,0,1,1),"")</f>
        <v>Open</v>
      </c>
    </row>
    <row r="63" spans="1:32" s="102" customFormat="1" ht="15" customHeight="1" x14ac:dyDescent="0.25">
      <c r="A63" s="265">
        <f t="shared" si="0"/>
        <v>11.733333333333333</v>
      </c>
      <c r="B63" s="265">
        <f>YEAR(Data_NFI_t[[#This Row],[Distribution Date]])</f>
        <v>2014</v>
      </c>
      <c r="C63" s="738">
        <v>41987</v>
      </c>
      <c r="D63" s="655" t="s">
        <v>288</v>
      </c>
      <c r="E63" s="654" t="s">
        <v>288</v>
      </c>
      <c r="F63" s="655" t="s">
        <v>7</v>
      </c>
      <c r="G63" s="31" t="s">
        <v>20</v>
      </c>
      <c r="H63" s="31" t="s">
        <v>636</v>
      </c>
      <c r="I63" s="31">
        <v>170</v>
      </c>
      <c r="J63" s="61">
        <v>170</v>
      </c>
      <c r="K63" s="61">
        <v>170</v>
      </c>
      <c r="L63" s="61">
        <v>338</v>
      </c>
      <c r="M63" s="61">
        <v>0</v>
      </c>
      <c r="N63" s="61">
        <v>338</v>
      </c>
      <c r="O63" s="61">
        <v>110</v>
      </c>
      <c r="P63" s="61">
        <v>0</v>
      </c>
      <c r="Q63" s="61">
        <v>170</v>
      </c>
      <c r="R63" s="708"/>
      <c r="S63" s="61">
        <v>550</v>
      </c>
      <c r="T63" s="150">
        <f>IF(NFI_Expiration=1,IF($A63&lt;VLOOKUP(I$5,NFI,5,0),1,0)*Data_NFI_t[[#This Row],[Hygiene Kit]],0)</f>
        <v>170</v>
      </c>
      <c r="U63" s="150">
        <f>IF(NFI_Expiration=1,IF($A63&lt;VLOOKUP(J$5,NFI,5,0),1,0)*Data_NFI_t[[#This Row],[NFI Core Kit]],0)</f>
        <v>170</v>
      </c>
      <c r="V63" s="131">
        <f>IF(NFI_Expiration=1,IF($A63&lt;VLOOKUP(K$5,NFI,5,0),1,0)*Data_NFI_t[[#This Row],[Sanitary Kit]],0)</f>
        <v>170</v>
      </c>
      <c r="W63" s="131">
        <f>IF(NFI_Expiration=1,IF($A63&lt;VLOOKUP(L$5,NFI,5,0),1,0)*Data_NFI_t[[#This Row],[Mosquito net]],0)</f>
        <v>338</v>
      </c>
      <c r="X63" s="131">
        <f>IF(NFI_Expiration=1,IF($A63&lt;VLOOKUP(M$5,NFI,5,0),1,0)*Data_NFI_t[[#This Row],[Tarpaulin]],0)</f>
        <v>0</v>
      </c>
      <c r="Y63" s="131">
        <f>IF(NFI_Expiration=1,IF($A63&lt;VLOOKUP(N$5,NFI,5,0),1,0)*Data_NFI_t[[#This Row],[Blanket]],0)</f>
        <v>338</v>
      </c>
      <c r="Z63" s="131">
        <f>IF(NFI_Expiration=1,IF($A63&lt;VLOOKUP(O$5,NFI,5,0),1,0)*Data_NFI_t[[#This Row],[Kitchen Set]],0)</f>
        <v>110</v>
      </c>
      <c r="AA63" s="131">
        <f>IF(NFI_Expiration=1,IF($A63&lt;VLOOKUP(P$5,NFI,5,0),1,0)*Data_NFI_t[[#This Row],[Complementary Kit]],0)</f>
        <v>0</v>
      </c>
      <c r="AB63" s="131">
        <f>IF(NFI_Expiration=1,IF($A63&lt;VLOOKUP(Q$5,NFI,5,0),1,0)*Data_NFI_t[[#This Row],[Plastic Bucket]],0)</f>
        <v>170</v>
      </c>
      <c r="AC63" s="131">
        <f>IF(NFI_Expiration=1,IF($A63&lt;VLOOKUP(R$5,NFI,5,0),1,0)*Data_NFI_t[[#This Row],[Jerry Can]],0)</f>
        <v>0</v>
      </c>
      <c r="AD63" s="150">
        <f>IF(NFI_Expiration=1,IF($A63&lt;VLOOKUP(S$5,NFI,5,0),1,0)*Data_NFI_t[[#This Row],[Plastic Mat]],0)*IF(Data_NFI_t[[#This Row],[Distribution Date]]&gt;"01-04-2014",1,2.5)</f>
        <v>1375</v>
      </c>
      <c r="AE63" s="150" t="str">
        <f ca="1">IFERROR(OFFSET(Camp_List[P_Code],MATCH(Data_NFI_t[[#This Row],[Camp Name]],Camp_List[Camp Name],0)-1,0,1,1),"")</f>
        <v>MMR012CMP109</v>
      </c>
      <c r="AF63" s="714" t="str">
        <f ca="1">IFERROR(OFFSET(Camp_List[Status],MATCH(Data_NFI_t[[#This Row],[Camp Name]],Camp_List[Camp Name],0)-1,0,1,1),"")</f>
        <v>Open</v>
      </c>
    </row>
    <row r="64" spans="1:32" s="102" customFormat="1" ht="15" customHeight="1" x14ac:dyDescent="0.25">
      <c r="A64" s="265">
        <f t="shared" si="0"/>
        <v>14.633333333333333</v>
      </c>
      <c r="B64" s="265">
        <f>YEAR(Data_NFI_t[[#This Row],[Distribution Date]])</f>
        <v>2014</v>
      </c>
      <c r="C64" s="738">
        <v>41900</v>
      </c>
      <c r="D64" s="655" t="s">
        <v>288</v>
      </c>
      <c r="E64" s="654" t="s">
        <v>288</v>
      </c>
      <c r="F64" s="655" t="s">
        <v>7</v>
      </c>
      <c r="G64" s="31" t="s">
        <v>16</v>
      </c>
      <c r="H64" s="31" t="s">
        <v>57</v>
      </c>
      <c r="I64" s="31">
        <v>349</v>
      </c>
      <c r="J64" s="61">
        <v>349</v>
      </c>
      <c r="K64" s="61">
        <v>349</v>
      </c>
      <c r="L64" s="61">
        <v>698</v>
      </c>
      <c r="M64" s="61">
        <v>250</v>
      </c>
      <c r="N64" s="61">
        <v>698</v>
      </c>
      <c r="O64" s="61">
        <v>250</v>
      </c>
      <c r="P64" s="61">
        <v>0</v>
      </c>
      <c r="Q64" s="61">
        <v>349</v>
      </c>
      <c r="R64" s="708"/>
      <c r="S64" s="61">
        <v>1250</v>
      </c>
      <c r="T64" s="150">
        <f>IF(NFI_Expiration=1,IF($A64&lt;VLOOKUP(I$5,NFI,5,0),1,0)*Data_NFI_t[[#This Row],[Hygiene Kit]],0)</f>
        <v>0</v>
      </c>
      <c r="U64" s="150">
        <f>IF(NFI_Expiration=1,IF($A64&lt;VLOOKUP(J$5,NFI,5,0),1,0)*Data_NFI_t[[#This Row],[NFI Core Kit]],0)</f>
        <v>0</v>
      </c>
      <c r="V64" s="131">
        <f>IF(NFI_Expiration=1,IF($A64&lt;VLOOKUP(K$5,NFI,5,0),1,0)*Data_NFI_t[[#This Row],[Sanitary Kit]],0)</f>
        <v>0</v>
      </c>
      <c r="W64" s="131">
        <f>IF(NFI_Expiration=1,IF($A64&lt;VLOOKUP(L$5,NFI,5,0),1,0)*Data_NFI_t[[#This Row],[Mosquito net]],0)</f>
        <v>0</v>
      </c>
      <c r="X64" s="131">
        <f>IF(NFI_Expiration=1,IF($A64&lt;VLOOKUP(M$5,NFI,5,0),1,0)*Data_NFI_t[[#This Row],[Tarpaulin]],0)</f>
        <v>0</v>
      </c>
      <c r="Y64" s="131">
        <f>IF(NFI_Expiration=1,IF($A64&lt;VLOOKUP(N$5,NFI,5,0),1,0)*Data_NFI_t[[#This Row],[Blanket]],0)</f>
        <v>0</v>
      </c>
      <c r="Z64" s="131">
        <f>IF(NFI_Expiration=1,IF($A64&lt;VLOOKUP(O$5,NFI,5,0),1,0)*Data_NFI_t[[#This Row],[Kitchen Set]],0)</f>
        <v>0</v>
      </c>
      <c r="AA64" s="131">
        <f>IF(NFI_Expiration=1,IF($A64&lt;VLOOKUP(P$5,NFI,5,0),1,0)*Data_NFI_t[[#This Row],[Complementary Kit]],0)</f>
        <v>0</v>
      </c>
      <c r="AB64" s="131">
        <f>IF(NFI_Expiration=1,IF($A64&lt;VLOOKUP(Q$5,NFI,5,0),1,0)*Data_NFI_t[[#This Row],[Plastic Bucket]],0)</f>
        <v>0</v>
      </c>
      <c r="AC64" s="131">
        <f>IF(NFI_Expiration=1,IF($A64&lt;VLOOKUP(R$5,NFI,5,0),1,0)*Data_NFI_t[[#This Row],[Jerry Can]],0)</f>
        <v>0</v>
      </c>
      <c r="AD64" s="150">
        <f>IF(NFI_Expiration=1,IF($A64&lt;VLOOKUP(S$5,NFI,5,0),1,0)*Data_NFI_t[[#This Row],[Plastic Mat]],0)*IF(Data_NFI_t[[#This Row],[Distribution Date]]&gt;"01-04-2014",1,2.5)</f>
        <v>0</v>
      </c>
      <c r="AE64" s="150" t="str">
        <f ca="1">IFERROR(OFFSET(Camp_List[P_Code],MATCH(Data_NFI_t[[#This Row],[Camp Name]],Camp_List[Camp Name],0)-1,0,1,1),"")</f>
        <v>MMR012CMP034</v>
      </c>
      <c r="AF64" s="714" t="str">
        <f ca="1">IFERROR(OFFSET(Camp_List[Status],MATCH(Data_NFI_t[[#This Row],[Camp Name]],Camp_List[Camp Name],0)-1,0,1,1),"")</f>
        <v>Open</v>
      </c>
    </row>
    <row r="65" spans="1:32" s="102" customFormat="1" ht="15" customHeight="1" x14ac:dyDescent="0.25">
      <c r="A65" s="265">
        <f t="shared" si="0"/>
        <v>14.666666666666666</v>
      </c>
      <c r="B65" s="265">
        <f>YEAR(Data_NFI_t[[#This Row],[Distribution Date]])</f>
        <v>2014</v>
      </c>
      <c r="C65" s="738">
        <v>41899</v>
      </c>
      <c r="D65" s="655" t="s">
        <v>288</v>
      </c>
      <c r="E65" s="654" t="s">
        <v>288</v>
      </c>
      <c r="F65" s="655" t="s">
        <v>7</v>
      </c>
      <c r="G65" s="31" t="s">
        <v>16</v>
      </c>
      <c r="H65" s="31" t="s">
        <v>56</v>
      </c>
      <c r="I65" s="31">
        <v>86</v>
      </c>
      <c r="J65" s="61">
        <v>86</v>
      </c>
      <c r="K65" s="61">
        <v>86</v>
      </c>
      <c r="L65" s="61">
        <v>170</v>
      </c>
      <c r="M65" s="61">
        <v>66</v>
      </c>
      <c r="N65" s="61">
        <v>170</v>
      </c>
      <c r="O65" s="61">
        <v>66</v>
      </c>
      <c r="P65" s="61">
        <v>0</v>
      </c>
      <c r="Q65" s="61">
        <v>86</v>
      </c>
      <c r="R65" s="708"/>
      <c r="S65" s="61">
        <v>330</v>
      </c>
      <c r="T65" s="150">
        <f>IF(NFI_Expiration=1,IF($A65&lt;VLOOKUP(I$5,NFI,5,0),1,0)*Data_NFI_t[[#This Row],[Hygiene Kit]],0)</f>
        <v>0</v>
      </c>
      <c r="U65" s="150">
        <f>IF(NFI_Expiration=1,IF($A65&lt;VLOOKUP(J$5,NFI,5,0),1,0)*Data_NFI_t[[#This Row],[NFI Core Kit]],0)</f>
        <v>0</v>
      </c>
      <c r="V65" s="131">
        <f>IF(NFI_Expiration=1,IF($A65&lt;VLOOKUP(K$5,NFI,5,0),1,0)*Data_NFI_t[[#This Row],[Sanitary Kit]],0)</f>
        <v>0</v>
      </c>
      <c r="W65" s="131">
        <f>IF(NFI_Expiration=1,IF($A65&lt;VLOOKUP(L$5,NFI,5,0),1,0)*Data_NFI_t[[#This Row],[Mosquito net]],0)</f>
        <v>0</v>
      </c>
      <c r="X65" s="131">
        <f>IF(NFI_Expiration=1,IF($A65&lt;VLOOKUP(M$5,NFI,5,0),1,0)*Data_NFI_t[[#This Row],[Tarpaulin]],0)</f>
        <v>0</v>
      </c>
      <c r="Y65" s="131">
        <f>IF(NFI_Expiration=1,IF($A65&lt;VLOOKUP(N$5,NFI,5,0),1,0)*Data_NFI_t[[#This Row],[Blanket]],0)</f>
        <v>0</v>
      </c>
      <c r="Z65" s="131">
        <f>IF(NFI_Expiration=1,IF($A65&lt;VLOOKUP(O$5,NFI,5,0),1,0)*Data_NFI_t[[#This Row],[Kitchen Set]],0)</f>
        <v>0</v>
      </c>
      <c r="AA65" s="131">
        <f>IF(NFI_Expiration=1,IF($A65&lt;VLOOKUP(P$5,NFI,5,0),1,0)*Data_NFI_t[[#This Row],[Complementary Kit]],0)</f>
        <v>0</v>
      </c>
      <c r="AB65" s="131">
        <f>IF(NFI_Expiration=1,IF($A65&lt;VLOOKUP(Q$5,NFI,5,0),1,0)*Data_NFI_t[[#This Row],[Plastic Bucket]],0)</f>
        <v>0</v>
      </c>
      <c r="AC65" s="131">
        <f>IF(NFI_Expiration=1,IF($A65&lt;VLOOKUP(R$5,NFI,5,0),1,0)*Data_NFI_t[[#This Row],[Jerry Can]],0)</f>
        <v>0</v>
      </c>
      <c r="AD65" s="150">
        <f>IF(NFI_Expiration=1,IF($A65&lt;VLOOKUP(S$5,NFI,5,0),1,0)*Data_NFI_t[[#This Row],[Plastic Mat]],0)*IF(Data_NFI_t[[#This Row],[Distribution Date]]&gt;"01-04-2014",1,2.5)</f>
        <v>0</v>
      </c>
      <c r="AE65" s="150" t="str">
        <f ca="1">IFERROR(OFFSET(Camp_List[P_Code],MATCH(Data_NFI_t[[#This Row],[Camp Name]],Camp_List[Camp Name],0)-1,0,1,1),"")</f>
        <v>MMR012CMP032</v>
      </c>
      <c r="AF65" s="714" t="str">
        <f ca="1">IFERROR(OFFSET(Camp_List[Status],MATCH(Data_NFI_t[[#This Row],[Camp Name]],Camp_List[Camp Name],0)-1,0,1,1),"")</f>
        <v>Open</v>
      </c>
    </row>
    <row r="66" spans="1:32" s="102" customFormat="1" ht="15" customHeight="1" x14ac:dyDescent="0.25">
      <c r="A66" s="265">
        <f t="shared" si="0"/>
        <v>14.7</v>
      </c>
      <c r="B66" s="265">
        <f>YEAR(Data_NFI_t[[#This Row],[Distribution Date]])</f>
        <v>2014</v>
      </c>
      <c r="C66" s="738">
        <v>41898</v>
      </c>
      <c r="D66" s="655" t="s">
        <v>288</v>
      </c>
      <c r="E66" s="654" t="s">
        <v>288</v>
      </c>
      <c r="F66" s="655" t="s">
        <v>7</v>
      </c>
      <c r="G66" s="31" t="s">
        <v>16</v>
      </c>
      <c r="H66" s="31" t="s">
        <v>55</v>
      </c>
      <c r="I66" s="31">
        <v>102</v>
      </c>
      <c r="J66" s="61">
        <v>102</v>
      </c>
      <c r="K66" s="61">
        <v>102</v>
      </c>
      <c r="L66" s="61">
        <v>206</v>
      </c>
      <c r="M66" s="61">
        <v>66</v>
      </c>
      <c r="N66" s="61">
        <v>206</v>
      </c>
      <c r="O66" s="61">
        <v>66</v>
      </c>
      <c r="P66" s="61">
        <v>0</v>
      </c>
      <c r="Q66" s="61">
        <v>102</v>
      </c>
      <c r="R66" s="708"/>
      <c r="S66" s="61">
        <v>330</v>
      </c>
      <c r="T66" s="150">
        <f>IF(NFI_Expiration=1,IF($A66&lt;VLOOKUP(I$5,NFI,5,0),1,0)*Data_NFI_t[[#This Row],[Hygiene Kit]],0)</f>
        <v>0</v>
      </c>
      <c r="U66" s="150">
        <f>IF(NFI_Expiration=1,IF($A66&lt;VLOOKUP(J$5,NFI,5,0),1,0)*Data_NFI_t[[#This Row],[NFI Core Kit]],0)</f>
        <v>0</v>
      </c>
      <c r="V66" s="131">
        <f>IF(NFI_Expiration=1,IF($A66&lt;VLOOKUP(K$5,NFI,5,0),1,0)*Data_NFI_t[[#This Row],[Sanitary Kit]],0)</f>
        <v>0</v>
      </c>
      <c r="W66" s="131">
        <f>IF(NFI_Expiration=1,IF($A66&lt;VLOOKUP(L$5,NFI,5,0),1,0)*Data_NFI_t[[#This Row],[Mosquito net]],0)</f>
        <v>0</v>
      </c>
      <c r="X66" s="131">
        <f>IF(NFI_Expiration=1,IF($A66&lt;VLOOKUP(M$5,NFI,5,0),1,0)*Data_NFI_t[[#This Row],[Tarpaulin]],0)</f>
        <v>0</v>
      </c>
      <c r="Y66" s="131">
        <f>IF(NFI_Expiration=1,IF($A66&lt;VLOOKUP(N$5,NFI,5,0),1,0)*Data_NFI_t[[#This Row],[Blanket]],0)</f>
        <v>0</v>
      </c>
      <c r="Z66" s="131">
        <f>IF(NFI_Expiration=1,IF($A66&lt;VLOOKUP(O$5,NFI,5,0),1,0)*Data_NFI_t[[#This Row],[Kitchen Set]],0)</f>
        <v>0</v>
      </c>
      <c r="AA66" s="131">
        <f>IF(NFI_Expiration=1,IF($A66&lt;VLOOKUP(P$5,NFI,5,0),1,0)*Data_NFI_t[[#This Row],[Complementary Kit]],0)</f>
        <v>0</v>
      </c>
      <c r="AB66" s="131">
        <f>IF(NFI_Expiration=1,IF($A66&lt;VLOOKUP(Q$5,NFI,5,0),1,0)*Data_NFI_t[[#This Row],[Plastic Bucket]],0)</f>
        <v>0</v>
      </c>
      <c r="AC66" s="131">
        <f>IF(NFI_Expiration=1,IF($A66&lt;VLOOKUP(R$5,NFI,5,0),1,0)*Data_NFI_t[[#This Row],[Jerry Can]],0)</f>
        <v>0</v>
      </c>
      <c r="AD66" s="150">
        <f>IF(NFI_Expiration=1,IF($A66&lt;VLOOKUP(S$5,NFI,5,0),1,0)*Data_NFI_t[[#This Row],[Plastic Mat]],0)*IF(Data_NFI_t[[#This Row],[Distribution Date]]&gt;"01-04-2014",1,2.5)</f>
        <v>0</v>
      </c>
      <c r="AE66" s="150" t="str">
        <f ca="1">IFERROR(OFFSET(Camp_List[P_Code],MATCH(Data_NFI_t[[#This Row],[Camp Name]],Camp_List[Camp Name],0)-1,0,1,1),"")</f>
        <v>MMR012CMP031</v>
      </c>
      <c r="AF66" s="714" t="str">
        <f ca="1">IFERROR(OFFSET(Camp_List[Status],MATCH(Data_NFI_t[[#This Row],[Camp Name]],Camp_List[Camp Name],0)-1,0,1,1),"")</f>
        <v>Open</v>
      </c>
    </row>
    <row r="67" spans="1:32" s="102" customFormat="1" ht="15" customHeight="1" x14ac:dyDescent="0.25">
      <c r="A67" s="265">
        <f t="shared" si="0"/>
        <v>15.333333333333334</v>
      </c>
      <c r="B67" s="265">
        <f>YEAR(Data_NFI_t[[#This Row],[Distribution Date]])</f>
        <v>2014</v>
      </c>
      <c r="C67" s="738">
        <v>41879</v>
      </c>
      <c r="D67" s="655" t="s">
        <v>291</v>
      </c>
      <c r="E67" s="654" t="s">
        <v>291</v>
      </c>
      <c r="F67" s="655" t="s">
        <v>7</v>
      </c>
      <c r="G67" s="31" t="s">
        <v>19</v>
      </c>
      <c r="H67" s="31" t="s">
        <v>651</v>
      </c>
      <c r="I67" s="31"/>
      <c r="J67" s="61"/>
      <c r="K67" s="61"/>
      <c r="L67" s="61">
        <v>2624</v>
      </c>
      <c r="M67" s="61">
        <v>1312</v>
      </c>
      <c r="N67" s="61">
        <v>2624</v>
      </c>
      <c r="O67" s="61">
        <v>1312</v>
      </c>
      <c r="P67" s="61"/>
      <c r="Q67" s="61">
        <v>1312</v>
      </c>
      <c r="R67" s="708"/>
      <c r="S67" s="61">
        <v>3936</v>
      </c>
      <c r="T67" s="150">
        <f>IF(NFI_Expiration=1,IF($A67&lt;VLOOKUP(I$5,NFI,5,0),1,0)*Data_NFI_t[[#This Row],[Hygiene Kit]],0)</f>
        <v>0</v>
      </c>
      <c r="U67" s="150">
        <f>IF(NFI_Expiration=1,IF($A67&lt;VLOOKUP(J$5,NFI,5,0),1,0)*Data_NFI_t[[#This Row],[NFI Core Kit]],0)</f>
        <v>0</v>
      </c>
      <c r="V67" s="131">
        <f>IF(NFI_Expiration=1,IF($A67&lt;VLOOKUP(K$5,NFI,5,0),1,0)*Data_NFI_t[[#This Row],[Sanitary Kit]],0)</f>
        <v>0</v>
      </c>
      <c r="W67" s="131">
        <f>IF(NFI_Expiration=1,IF($A67&lt;VLOOKUP(L$5,NFI,5,0),1,0)*Data_NFI_t[[#This Row],[Mosquito net]],0)</f>
        <v>0</v>
      </c>
      <c r="X67" s="131">
        <f>IF(NFI_Expiration=1,IF($A67&lt;VLOOKUP(M$5,NFI,5,0),1,0)*Data_NFI_t[[#This Row],[Tarpaulin]],0)</f>
        <v>0</v>
      </c>
      <c r="Y67" s="131">
        <f>IF(NFI_Expiration=1,IF($A67&lt;VLOOKUP(N$5,NFI,5,0),1,0)*Data_NFI_t[[#This Row],[Blanket]],0)</f>
        <v>0</v>
      </c>
      <c r="Z67" s="131">
        <f>IF(NFI_Expiration=1,IF($A67&lt;VLOOKUP(O$5,NFI,5,0),1,0)*Data_NFI_t[[#This Row],[Kitchen Set]],0)</f>
        <v>0</v>
      </c>
      <c r="AA67" s="131">
        <f>IF(NFI_Expiration=1,IF($A67&lt;VLOOKUP(P$5,NFI,5,0),1,0)*Data_NFI_t[[#This Row],[Complementary Kit]],0)</f>
        <v>0</v>
      </c>
      <c r="AB67" s="131">
        <f>IF(NFI_Expiration=1,IF($A67&lt;VLOOKUP(Q$5,NFI,5,0),1,0)*Data_NFI_t[[#This Row],[Plastic Bucket]],0)</f>
        <v>0</v>
      </c>
      <c r="AC67" s="131">
        <f>IF(NFI_Expiration=1,IF($A67&lt;VLOOKUP(R$5,NFI,5,0),1,0)*Data_NFI_t[[#This Row],[Jerry Can]],0)</f>
        <v>0</v>
      </c>
      <c r="AD67" s="150">
        <f>IF(NFI_Expiration=1,IF($A67&lt;VLOOKUP(S$5,NFI,5,0),1,0)*Data_NFI_t[[#This Row],[Plastic Mat]],0)*IF(Data_NFI_t[[#This Row],[Distribution Date]]&gt;"01-04-2014",1,2.5)</f>
        <v>0</v>
      </c>
      <c r="AE67" s="150" t="str">
        <f ca="1">IFERROR(OFFSET(Camp_List[P_Code],MATCH(Data_NFI_t[[#This Row],[Camp Name]],Camp_List[Camp Name],0)-1,0,1,1),"")</f>
        <v>MMR012CMP114</v>
      </c>
      <c r="AF67" s="714" t="str">
        <f ca="1">IFERROR(OFFSET(Camp_List[Status],MATCH(Data_NFI_t[[#This Row],[Camp Name]],Camp_List[Camp Name],0)-1,0,1,1),"")</f>
        <v>Open</v>
      </c>
    </row>
    <row r="68" spans="1:32" s="102" customFormat="1" ht="15" customHeight="1" x14ac:dyDescent="0.25">
      <c r="A68" s="265">
        <f t="shared" si="0"/>
        <v>15.4</v>
      </c>
      <c r="B68" s="265">
        <f>YEAR(Data_NFI_t[[#This Row],[Distribution Date]])</f>
        <v>2014</v>
      </c>
      <c r="C68" s="738">
        <v>41877</v>
      </c>
      <c r="D68" s="655" t="s">
        <v>291</v>
      </c>
      <c r="E68" s="654" t="s">
        <v>291</v>
      </c>
      <c r="F68" s="655" t="s">
        <v>7</v>
      </c>
      <c r="G68" s="31" t="s">
        <v>19</v>
      </c>
      <c r="H68" s="31" t="s">
        <v>650</v>
      </c>
      <c r="I68" s="31"/>
      <c r="J68" s="61"/>
      <c r="K68" s="61"/>
      <c r="L68" s="61">
        <v>2020</v>
      </c>
      <c r="M68" s="61">
        <v>1010</v>
      </c>
      <c r="N68" s="61">
        <v>2020</v>
      </c>
      <c r="O68" s="61">
        <v>1010</v>
      </c>
      <c r="P68" s="61"/>
      <c r="Q68" s="61">
        <v>1010</v>
      </c>
      <c r="R68" s="708"/>
      <c r="S68" s="61">
        <v>3030</v>
      </c>
      <c r="T68" s="150">
        <f>IF(NFI_Expiration=1,IF($A68&lt;VLOOKUP(I$5,NFI,5,0),1,0)*Data_NFI_t[[#This Row],[Hygiene Kit]],0)</f>
        <v>0</v>
      </c>
      <c r="U68" s="150">
        <f>IF(NFI_Expiration=1,IF($A68&lt;VLOOKUP(J$5,NFI,5,0),1,0)*Data_NFI_t[[#This Row],[NFI Core Kit]],0)</f>
        <v>0</v>
      </c>
      <c r="V68" s="131">
        <f>IF(NFI_Expiration=1,IF($A68&lt;VLOOKUP(K$5,NFI,5,0),1,0)*Data_NFI_t[[#This Row],[Sanitary Kit]],0)</f>
        <v>0</v>
      </c>
      <c r="W68" s="131">
        <f>IF(NFI_Expiration=1,IF($A68&lt;VLOOKUP(L$5,NFI,5,0),1,0)*Data_NFI_t[[#This Row],[Mosquito net]],0)</f>
        <v>0</v>
      </c>
      <c r="X68" s="131">
        <f>IF(NFI_Expiration=1,IF($A68&lt;VLOOKUP(M$5,NFI,5,0),1,0)*Data_NFI_t[[#This Row],[Tarpaulin]],0)</f>
        <v>0</v>
      </c>
      <c r="Y68" s="131">
        <f>IF(NFI_Expiration=1,IF($A68&lt;VLOOKUP(N$5,NFI,5,0),1,0)*Data_NFI_t[[#This Row],[Blanket]],0)</f>
        <v>0</v>
      </c>
      <c r="Z68" s="131">
        <f>IF(NFI_Expiration=1,IF($A68&lt;VLOOKUP(O$5,NFI,5,0),1,0)*Data_NFI_t[[#This Row],[Kitchen Set]],0)</f>
        <v>0</v>
      </c>
      <c r="AA68" s="131">
        <f>IF(NFI_Expiration=1,IF($A68&lt;VLOOKUP(P$5,NFI,5,0),1,0)*Data_NFI_t[[#This Row],[Complementary Kit]],0)</f>
        <v>0</v>
      </c>
      <c r="AB68" s="131">
        <f>IF(NFI_Expiration=1,IF($A68&lt;VLOOKUP(Q$5,NFI,5,0),1,0)*Data_NFI_t[[#This Row],[Plastic Bucket]],0)</f>
        <v>0</v>
      </c>
      <c r="AC68" s="131">
        <f>IF(NFI_Expiration=1,IF($A68&lt;VLOOKUP(R$5,NFI,5,0),1,0)*Data_NFI_t[[#This Row],[Jerry Can]],0)</f>
        <v>0</v>
      </c>
      <c r="AD68" s="150">
        <f>IF(NFI_Expiration=1,IF($A68&lt;VLOOKUP(S$5,NFI,5,0),1,0)*Data_NFI_t[[#This Row],[Plastic Mat]],0)*IF(Data_NFI_t[[#This Row],[Distribution Date]]&gt;"01-04-2014",1,2.5)</f>
        <v>0</v>
      </c>
      <c r="AE68" s="150" t="str">
        <f ca="1">IFERROR(OFFSET(Camp_List[P_Code],MATCH(Data_NFI_t[[#This Row],[Camp Name]],Camp_List[Camp Name],0)-1,0,1,1),"")</f>
        <v>MMR012CMP113</v>
      </c>
      <c r="AF68" s="714" t="str">
        <f ca="1">IFERROR(OFFSET(Camp_List[Status],MATCH(Data_NFI_t[[#This Row],[Camp Name]],Camp_List[Camp Name],0)-1,0,1,1),"")</f>
        <v>Open</v>
      </c>
    </row>
    <row r="69" spans="1:32" s="102" customFormat="1" ht="15" customHeight="1" x14ac:dyDescent="0.25">
      <c r="A69" s="265">
        <f t="shared" si="0"/>
        <v>15.8</v>
      </c>
      <c r="B69" s="265">
        <f>YEAR(Data_NFI_t[[#This Row],[Distribution Date]])</f>
        <v>2014</v>
      </c>
      <c r="C69" s="738">
        <v>41865</v>
      </c>
      <c r="D69" s="655" t="s">
        <v>643</v>
      </c>
      <c r="E69" s="654" t="s">
        <v>643</v>
      </c>
      <c r="F69" s="655" t="s">
        <v>7</v>
      </c>
      <c r="G69" s="31" t="s">
        <v>19</v>
      </c>
      <c r="H69" s="31" t="s">
        <v>78</v>
      </c>
      <c r="I69" s="31"/>
      <c r="J69" s="61"/>
      <c r="K69" s="61"/>
      <c r="L69" s="61">
        <v>2</v>
      </c>
      <c r="M69" s="61">
        <v>1</v>
      </c>
      <c r="N69" s="61">
        <v>2</v>
      </c>
      <c r="O69" s="61">
        <v>1</v>
      </c>
      <c r="P69" s="61"/>
      <c r="Q69" s="61">
        <v>1</v>
      </c>
      <c r="R69" s="708"/>
      <c r="S69" s="61">
        <v>5</v>
      </c>
      <c r="T69" s="150">
        <f>IF(NFI_Expiration=1,IF($A69&lt;VLOOKUP(I$5,NFI,5,0),1,0)*Data_NFI_t[[#This Row],[Hygiene Kit]],0)</f>
        <v>0</v>
      </c>
      <c r="U69" s="150">
        <f>IF(NFI_Expiration=1,IF($A69&lt;VLOOKUP(J$5,NFI,5,0),1,0)*Data_NFI_t[[#This Row],[NFI Core Kit]],0)</f>
        <v>0</v>
      </c>
      <c r="V69" s="131">
        <f>IF(NFI_Expiration=1,IF($A69&lt;VLOOKUP(K$5,NFI,5,0),1,0)*Data_NFI_t[[#This Row],[Sanitary Kit]],0)</f>
        <v>0</v>
      </c>
      <c r="W69" s="131">
        <f>IF(NFI_Expiration=1,IF($A69&lt;VLOOKUP(L$5,NFI,5,0),1,0)*Data_NFI_t[[#This Row],[Mosquito net]],0)</f>
        <v>0</v>
      </c>
      <c r="X69" s="131">
        <f>IF(NFI_Expiration=1,IF($A69&lt;VLOOKUP(M$5,NFI,5,0),1,0)*Data_NFI_t[[#This Row],[Tarpaulin]],0)</f>
        <v>0</v>
      </c>
      <c r="Y69" s="131">
        <f>IF(NFI_Expiration=1,IF($A69&lt;VLOOKUP(N$5,NFI,5,0),1,0)*Data_NFI_t[[#This Row],[Blanket]],0)</f>
        <v>0</v>
      </c>
      <c r="Z69" s="131">
        <f>IF(NFI_Expiration=1,IF($A69&lt;VLOOKUP(O$5,NFI,5,0),1,0)*Data_NFI_t[[#This Row],[Kitchen Set]],0)</f>
        <v>0</v>
      </c>
      <c r="AA69" s="131">
        <f>IF(NFI_Expiration=1,IF($A69&lt;VLOOKUP(P$5,NFI,5,0),1,0)*Data_NFI_t[[#This Row],[Complementary Kit]],0)</f>
        <v>0</v>
      </c>
      <c r="AB69" s="131">
        <f>IF(NFI_Expiration=1,IF($A69&lt;VLOOKUP(Q$5,NFI,5,0),1,0)*Data_NFI_t[[#This Row],[Plastic Bucket]],0)</f>
        <v>0</v>
      </c>
      <c r="AC69" s="131">
        <f>IF(NFI_Expiration=1,IF($A69&lt;VLOOKUP(R$5,NFI,5,0),1,0)*Data_NFI_t[[#This Row],[Jerry Can]],0)</f>
        <v>0</v>
      </c>
      <c r="AD69" s="150">
        <f>IF(NFI_Expiration=1,IF($A69&lt;VLOOKUP(S$5,NFI,5,0),1,0)*Data_NFI_t[[#This Row],[Plastic Mat]],0)*IF(Data_NFI_t[[#This Row],[Distribution Date]]&gt;"01-04-2014",1,2.5)</f>
        <v>0</v>
      </c>
      <c r="AE69" s="150" t="str">
        <f ca="1">IFERROR(OFFSET(Camp_List[P_Code],MATCH(Data_NFI_t[[#This Row],[Camp Name]],Camp_List[Camp Name],0)-1,0,1,1),"")</f>
        <v>MMR012CMP056</v>
      </c>
      <c r="AF69" s="714" t="str">
        <f ca="1">IFERROR(OFFSET(Camp_List[Status],MATCH(Data_NFI_t[[#This Row],[Camp Name]],Camp_List[Camp Name],0)-1,0,1,1),"")</f>
        <v>Open</v>
      </c>
    </row>
    <row r="70" spans="1:32" s="102" customFormat="1" ht="15" customHeight="1" x14ac:dyDescent="0.25">
      <c r="A70" s="265">
        <f t="shared" ref="A70:A133" si="1">IF(ISBLANK(C70),"",(Report_Date-C70)/30)</f>
        <v>15.8</v>
      </c>
      <c r="B70" s="265">
        <f>YEAR(Data_NFI_t[[#This Row],[Distribution Date]])</f>
        <v>2014</v>
      </c>
      <c r="C70" s="738">
        <v>41865</v>
      </c>
      <c r="D70" s="655" t="s">
        <v>643</v>
      </c>
      <c r="E70" s="654" t="s">
        <v>643</v>
      </c>
      <c r="F70" s="655" t="s">
        <v>7</v>
      </c>
      <c r="G70" s="31" t="s">
        <v>19</v>
      </c>
      <c r="H70" s="31" t="s">
        <v>248</v>
      </c>
      <c r="I70" s="31"/>
      <c r="J70" s="61"/>
      <c r="K70" s="61"/>
      <c r="L70" s="61">
        <v>2</v>
      </c>
      <c r="M70" s="61">
        <v>1</v>
      </c>
      <c r="N70" s="61">
        <v>2</v>
      </c>
      <c r="O70" s="61">
        <v>1</v>
      </c>
      <c r="P70" s="61"/>
      <c r="Q70" s="61">
        <v>1</v>
      </c>
      <c r="R70" s="708"/>
      <c r="S70" s="61">
        <v>5</v>
      </c>
      <c r="T70" s="150">
        <f>IF(NFI_Expiration=1,IF($A70&lt;VLOOKUP(I$5,NFI,5,0),1,0)*Data_NFI_t[[#This Row],[Hygiene Kit]],0)</f>
        <v>0</v>
      </c>
      <c r="U70" s="150">
        <f>IF(NFI_Expiration=1,IF($A70&lt;VLOOKUP(J$5,NFI,5,0),1,0)*Data_NFI_t[[#This Row],[NFI Core Kit]],0)</f>
        <v>0</v>
      </c>
      <c r="V70" s="131">
        <f>IF(NFI_Expiration=1,IF($A70&lt;VLOOKUP(K$5,NFI,5,0),1,0)*Data_NFI_t[[#This Row],[Sanitary Kit]],0)</f>
        <v>0</v>
      </c>
      <c r="W70" s="131">
        <f>IF(NFI_Expiration=1,IF($A70&lt;VLOOKUP(L$5,NFI,5,0),1,0)*Data_NFI_t[[#This Row],[Mosquito net]],0)</f>
        <v>0</v>
      </c>
      <c r="X70" s="131">
        <f>IF(NFI_Expiration=1,IF($A70&lt;VLOOKUP(M$5,NFI,5,0),1,0)*Data_NFI_t[[#This Row],[Tarpaulin]],0)</f>
        <v>0</v>
      </c>
      <c r="Y70" s="131">
        <f>IF(NFI_Expiration=1,IF($A70&lt;VLOOKUP(N$5,NFI,5,0),1,0)*Data_NFI_t[[#This Row],[Blanket]],0)</f>
        <v>0</v>
      </c>
      <c r="Z70" s="131">
        <f>IF(NFI_Expiration=1,IF($A70&lt;VLOOKUP(O$5,NFI,5,0),1,0)*Data_NFI_t[[#This Row],[Kitchen Set]],0)</f>
        <v>0</v>
      </c>
      <c r="AA70" s="131">
        <f>IF(NFI_Expiration=1,IF($A70&lt;VLOOKUP(P$5,NFI,5,0),1,0)*Data_NFI_t[[#This Row],[Complementary Kit]],0)</f>
        <v>0</v>
      </c>
      <c r="AB70" s="131">
        <f>IF(NFI_Expiration=1,IF($A70&lt;VLOOKUP(Q$5,NFI,5,0),1,0)*Data_NFI_t[[#This Row],[Plastic Bucket]],0)</f>
        <v>0</v>
      </c>
      <c r="AC70" s="131">
        <f>IF(NFI_Expiration=1,IF($A70&lt;VLOOKUP(R$5,NFI,5,0),1,0)*Data_NFI_t[[#This Row],[Jerry Can]],0)</f>
        <v>0</v>
      </c>
      <c r="AD70" s="150">
        <f>IF(NFI_Expiration=1,IF($A70&lt;VLOOKUP(S$5,NFI,5,0),1,0)*Data_NFI_t[[#This Row],[Plastic Mat]],0)*IF(Data_NFI_t[[#This Row],[Distribution Date]]&gt;"01-04-2014",1,2.5)</f>
        <v>0</v>
      </c>
      <c r="AE70" s="150" t="str">
        <f ca="1">IFERROR(OFFSET(Camp_List[P_Code],MATCH(Data_NFI_t[[#This Row],[Camp Name]],Camp_List[Camp Name],0)-1,0,1,1),"")</f>
        <v>MMR012CMP093</v>
      </c>
      <c r="AF70" s="714" t="str">
        <f ca="1">IFERROR(OFFSET(Camp_List[Status],MATCH(Data_NFI_t[[#This Row],[Camp Name]],Camp_List[Camp Name],0)-1,0,1,1),"")</f>
        <v>Open</v>
      </c>
    </row>
    <row r="71" spans="1:32" s="102" customFormat="1" ht="15" customHeight="1" x14ac:dyDescent="0.25">
      <c r="A71" s="265">
        <f t="shared" si="1"/>
        <v>16.233333333333334</v>
      </c>
      <c r="B71" s="265">
        <f>YEAR(Data_NFI_t[[#This Row],[Distribution Date]])</f>
        <v>2014</v>
      </c>
      <c r="C71" s="738">
        <v>41852</v>
      </c>
      <c r="D71" s="655" t="s">
        <v>926</v>
      </c>
      <c r="E71" s="654" t="s">
        <v>926</v>
      </c>
      <c r="F71" s="655" t="s">
        <v>7</v>
      </c>
      <c r="G71" s="31" t="s">
        <v>14</v>
      </c>
      <c r="H71" s="31" t="s">
        <v>40</v>
      </c>
      <c r="I71" s="31"/>
      <c r="J71" s="61"/>
      <c r="K71" s="61"/>
      <c r="L71" s="61"/>
      <c r="M71" s="61"/>
      <c r="N71" s="61"/>
      <c r="O71" s="61"/>
      <c r="P71" s="61">
        <v>1128</v>
      </c>
      <c r="Q71" s="61"/>
      <c r="R71" s="708"/>
      <c r="S71" s="61"/>
      <c r="T71" s="150">
        <f>IF(NFI_Expiration=1,IF($A71&lt;VLOOKUP(I$5,NFI,5,0),1,0)*Data_NFI_t[[#This Row],[Hygiene Kit]],0)</f>
        <v>0</v>
      </c>
      <c r="U71" s="150">
        <f>IF(NFI_Expiration=1,IF($A71&lt;VLOOKUP(J$5,NFI,5,0),1,0)*Data_NFI_t[[#This Row],[NFI Core Kit]],0)</f>
        <v>0</v>
      </c>
      <c r="V71" s="131">
        <f>IF(NFI_Expiration=1,IF($A71&lt;VLOOKUP(K$5,NFI,5,0),1,0)*Data_NFI_t[[#This Row],[Sanitary Kit]],0)</f>
        <v>0</v>
      </c>
      <c r="W71" s="131">
        <f>IF(NFI_Expiration=1,IF($A71&lt;VLOOKUP(L$5,NFI,5,0),1,0)*Data_NFI_t[[#This Row],[Mosquito net]],0)</f>
        <v>0</v>
      </c>
      <c r="X71" s="131">
        <f>IF(NFI_Expiration=1,IF($A71&lt;VLOOKUP(M$5,NFI,5,0),1,0)*Data_NFI_t[[#This Row],[Tarpaulin]],0)</f>
        <v>0</v>
      </c>
      <c r="Y71" s="131">
        <f>IF(NFI_Expiration=1,IF($A71&lt;VLOOKUP(N$5,NFI,5,0),1,0)*Data_NFI_t[[#This Row],[Blanket]],0)</f>
        <v>0</v>
      </c>
      <c r="Z71" s="131">
        <f>IF(NFI_Expiration=1,IF($A71&lt;VLOOKUP(O$5,NFI,5,0),1,0)*Data_NFI_t[[#This Row],[Kitchen Set]],0)</f>
        <v>0</v>
      </c>
      <c r="AA71" s="131">
        <f>IF(NFI_Expiration=1,IF($A71&lt;VLOOKUP(P$5,NFI,5,0),1,0)*Data_NFI_t[[#This Row],[Complementary Kit]],0)</f>
        <v>0</v>
      </c>
      <c r="AB71" s="131">
        <f>IF(NFI_Expiration=1,IF($A71&lt;VLOOKUP(Q$5,NFI,5,0),1,0)*Data_NFI_t[[#This Row],[Plastic Bucket]],0)</f>
        <v>0</v>
      </c>
      <c r="AC71" s="131">
        <f>IF(NFI_Expiration=1,IF($A71&lt;VLOOKUP(R$5,NFI,5,0),1,0)*Data_NFI_t[[#This Row],[Jerry Can]],0)</f>
        <v>0</v>
      </c>
      <c r="AD71" s="150">
        <f>IF(NFI_Expiration=1,IF($A71&lt;VLOOKUP(S$5,NFI,5,0),1,0)*Data_NFI_t[[#This Row],[Plastic Mat]],0)*IF(Data_NFI_t[[#This Row],[Distribution Date]]&gt;"01-04-2014",1,2.5)</f>
        <v>0</v>
      </c>
      <c r="AE71" s="150" t="str">
        <f ca="1">IFERROR(OFFSET(Camp_List[P_Code],MATCH(Data_NFI_t[[#This Row],[Camp Name]],Camp_List[Camp Name],0)-1,0,1,1),"")</f>
        <v>MMR012CMP016</v>
      </c>
      <c r="AF71" s="714" t="str">
        <f ca="1">IFERROR(OFFSET(Camp_List[Status],MATCH(Data_NFI_t[[#This Row],[Camp Name]],Camp_List[Camp Name],0)-1,0,1,1),"")</f>
        <v>Open</v>
      </c>
    </row>
    <row r="72" spans="1:32" s="102" customFormat="1" ht="15" customHeight="1" x14ac:dyDescent="0.25">
      <c r="A72" s="265">
        <f t="shared" si="1"/>
        <v>16.233333333333334</v>
      </c>
      <c r="B72" s="265">
        <f>YEAR(Data_NFI_t[[#This Row],[Distribution Date]])</f>
        <v>2014</v>
      </c>
      <c r="C72" s="738">
        <v>41852</v>
      </c>
      <c r="D72" s="655" t="s">
        <v>926</v>
      </c>
      <c r="E72" s="654" t="s">
        <v>926</v>
      </c>
      <c r="F72" s="655" t="s">
        <v>7</v>
      </c>
      <c r="G72" s="31" t="s">
        <v>14</v>
      </c>
      <c r="H72" s="31" t="s">
        <v>42</v>
      </c>
      <c r="I72" s="31"/>
      <c r="J72" s="61"/>
      <c r="K72" s="61"/>
      <c r="L72" s="61"/>
      <c r="M72" s="61"/>
      <c r="N72" s="61"/>
      <c r="O72" s="61"/>
      <c r="P72" s="61">
        <v>959</v>
      </c>
      <c r="Q72" s="61"/>
      <c r="R72" s="708"/>
      <c r="S72" s="61"/>
      <c r="T72" s="150">
        <f>IF(NFI_Expiration=1,IF($A72&lt;VLOOKUP(I$5,NFI,5,0),1,0)*Data_NFI_t[[#This Row],[Hygiene Kit]],0)</f>
        <v>0</v>
      </c>
      <c r="U72" s="150">
        <f>IF(NFI_Expiration=1,IF($A72&lt;VLOOKUP(J$5,NFI,5,0),1,0)*Data_NFI_t[[#This Row],[NFI Core Kit]],0)</f>
        <v>0</v>
      </c>
      <c r="V72" s="131">
        <f>IF(NFI_Expiration=1,IF($A72&lt;VLOOKUP(K$5,NFI,5,0),1,0)*Data_NFI_t[[#This Row],[Sanitary Kit]],0)</f>
        <v>0</v>
      </c>
      <c r="W72" s="131">
        <f>IF(NFI_Expiration=1,IF($A72&lt;VLOOKUP(L$5,NFI,5,0),1,0)*Data_NFI_t[[#This Row],[Mosquito net]],0)</f>
        <v>0</v>
      </c>
      <c r="X72" s="131">
        <f>IF(NFI_Expiration=1,IF($A72&lt;VLOOKUP(M$5,NFI,5,0),1,0)*Data_NFI_t[[#This Row],[Tarpaulin]],0)</f>
        <v>0</v>
      </c>
      <c r="Y72" s="131">
        <f>IF(NFI_Expiration=1,IF($A72&lt;VLOOKUP(N$5,NFI,5,0),1,0)*Data_NFI_t[[#This Row],[Blanket]],0)</f>
        <v>0</v>
      </c>
      <c r="Z72" s="131">
        <f>IF(NFI_Expiration=1,IF($A72&lt;VLOOKUP(O$5,NFI,5,0),1,0)*Data_NFI_t[[#This Row],[Kitchen Set]],0)</f>
        <v>0</v>
      </c>
      <c r="AA72" s="131">
        <f>IF(NFI_Expiration=1,IF($A72&lt;VLOOKUP(P$5,NFI,5,0),1,0)*Data_NFI_t[[#This Row],[Complementary Kit]],0)</f>
        <v>0</v>
      </c>
      <c r="AB72" s="131">
        <f>IF(NFI_Expiration=1,IF($A72&lt;VLOOKUP(Q$5,NFI,5,0),1,0)*Data_NFI_t[[#This Row],[Plastic Bucket]],0)</f>
        <v>0</v>
      </c>
      <c r="AC72" s="131">
        <f>IF(NFI_Expiration=1,IF($A72&lt;VLOOKUP(R$5,NFI,5,0),1,0)*Data_NFI_t[[#This Row],[Jerry Can]],0)</f>
        <v>0</v>
      </c>
      <c r="AD72" s="150">
        <f>IF(NFI_Expiration=1,IF($A72&lt;VLOOKUP(S$5,NFI,5,0),1,0)*Data_NFI_t[[#This Row],[Plastic Mat]],0)*IF(Data_NFI_t[[#This Row],[Distribution Date]]&gt;"01-04-2014",1,2.5)</f>
        <v>0</v>
      </c>
      <c r="AE72" s="150" t="str">
        <f ca="1">IFERROR(OFFSET(Camp_List[P_Code],MATCH(Data_NFI_t[[#This Row],[Camp Name]],Camp_List[Camp Name],0)-1,0,1,1),"")</f>
        <v>MMR012CMP018</v>
      </c>
      <c r="AF72" s="714" t="str">
        <f ca="1">IFERROR(OFFSET(Camp_List[Status],MATCH(Data_NFI_t[[#This Row],[Camp Name]],Camp_List[Camp Name],0)-1,0,1,1),"")</f>
        <v>Open</v>
      </c>
    </row>
    <row r="73" spans="1:32" s="102" customFormat="1" ht="15" customHeight="1" x14ac:dyDescent="0.25">
      <c r="A73" s="265">
        <f t="shared" si="1"/>
        <v>16.233333333333334</v>
      </c>
      <c r="B73" s="265">
        <f>YEAR(Data_NFI_t[[#This Row],[Distribution Date]])</f>
        <v>2014</v>
      </c>
      <c r="C73" s="738">
        <v>41852</v>
      </c>
      <c r="D73" s="655" t="s">
        <v>926</v>
      </c>
      <c r="E73" s="654" t="s">
        <v>926</v>
      </c>
      <c r="F73" s="655" t="s">
        <v>7</v>
      </c>
      <c r="G73" s="31" t="s">
        <v>14</v>
      </c>
      <c r="H73" s="31" t="s">
        <v>41</v>
      </c>
      <c r="I73" s="31"/>
      <c r="J73" s="61"/>
      <c r="K73" s="61"/>
      <c r="L73" s="61"/>
      <c r="M73" s="61"/>
      <c r="N73" s="61"/>
      <c r="O73" s="61"/>
      <c r="P73" s="61">
        <v>1130</v>
      </c>
      <c r="Q73" s="61"/>
      <c r="R73" s="708"/>
      <c r="S73" s="61"/>
      <c r="T73" s="150">
        <f>IF(NFI_Expiration=1,IF($A73&lt;VLOOKUP(I$5,NFI,5,0),1,0)*Data_NFI_t[[#This Row],[Hygiene Kit]],0)</f>
        <v>0</v>
      </c>
      <c r="U73" s="150">
        <f>IF(NFI_Expiration=1,IF($A73&lt;VLOOKUP(J$5,NFI,5,0),1,0)*Data_NFI_t[[#This Row],[NFI Core Kit]],0)</f>
        <v>0</v>
      </c>
      <c r="V73" s="131">
        <f>IF(NFI_Expiration=1,IF($A73&lt;VLOOKUP(K$5,NFI,5,0),1,0)*Data_NFI_t[[#This Row],[Sanitary Kit]],0)</f>
        <v>0</v>
      </c>
      <c r="W73" s="131">
        <f>IF(NFI_Expiration=1,IF($A73&lt;VLOOKUP(L$5,NFI,5,0),1,0)*Data_NFI_t[[#This Row],[Mosquito net]],0)</f>
        <v>0</v>
      </c>
      <c r="X73" s="131">
        <f>IF(NFI_Expiration=1,IF($A73&lt;VLOOKUP(M$5,NFI,5,0),1,0)*Data_NFI_t[[#This Row],[Tarpaulin]],0)</f>
        <v>0</v>
      </c>
      <c r="Y73" s="131">
        <f>IF(NFI_Expiration=1,IF($A73&lt;VLOOKUP(N$5,NFI,5,0),1,0)*Data_NFI_t[[#This Row],[Blanket]],0)</f>
        <v>0</v>
      </c>
      <c r="Z73" s="131">
        <f>IF(NFI_Expiration=1,IF($A73&lt;VLOOKUP(O$5,NFI,5,0),1,0)*Data_NFI_t[[#This Row],[Kitchen Set]],0)</f>
        <v>0</v>
      </c>
      <c r="AA73" s="131">
        <f>IF(NFI_Expiration=1,IF($A73&lt;VLOOKUP(P$5,NFI,5,0),1,0)*Data_NFI_t[[#This Row],[Complementary Kit]],0)</f>
        <v>0</v>
      </c>
      <c r="AB73" s="131">
        <f>IF(NFI_Expiration=1,IF($A73&lt;VLOOKUP(Q$5,NFI,5,0),1,0)*Data_NFI_t[[#This Row],[Plastic Bucket]],0)</f>
        <v>0</v>
      </c>
      <c r="AC73" s="131">
        <f>IF(NFI_Expiration=1,IF($A73&lt;VLOOKUP(R$5,NFI,5,0),1,0)*Data_NFI_t[[#This Row],[Jerry Can]],0)</f>
        <v>0</v>
      </c>
      <c r="AD73" s="150">
        <f>IF(NFI_Expiration=1,IF($A73&lt;VLOOKUP(S$5,NFI,5,0),1,0)*Data_NFI_t[[#This Row],[Plastic Mat]],0)*IF(Data_NFI_t[[#This Row],[Distribution Date]]&gt;"01-04-2014",1,2.5)</f>
        <v>0</v>
      </c>
      <c r="AE73" s="150" t="str">
        <f ca="1">IFERROR(OFFSET(Camp_List[P_Code],MATCH(Data_NFI_t[[#This Row],[Camp Name]],Camp_List[Camp Name],0)-1,0,1,1),"")</f>
        <v>MMR012CMP017</v>
      </c>
      <c r="AF73" s="714" t="str">
        <f ca="1">IFERROR(OFFSET(Camp_List[Status],MATCH(Data_NFI_t[[#This Row],[Camp Name]],Camp_List[Camp Name],0)-1,0,1,1),"")</f>
        <v>Open</v>
      </c>
    </row>
    <row r="74" spans="1:32" s="102" customFormat="1" ht="15" customHeight="1" x14ac:dyDescent="0.25">
      <c r="A74" s="265">
        <f t="shared" si="1"/>
        <v>16.233333333333334</v>
      </c>
      <c r="B74" s="265">
        <f>YEAR(Data_NFI_t[[#This Row],[Distribution Date]])</f>
        <v>2014</v>
      </c>
      <c r="C74" s="738">
        <v>41852</v>
      </c>
      <c r="D74" s="655" t="s">
        <v>926</v>
      </c>
      <c r="E74" s="654" t="s">
        <v>926</v>
      </c>
      <c r="F74" s="655" t="s">
        <v>7</v>
      </c>
      <c r="G74" s="31" t="s">
        <v>14</v>
      </c>
      <c r="H74" s="31" t="s">
        <v>43</v>
      </c>
      <c r="I74" s="31"/>
      <c r="J74" s="61"/>
      <c r="K74" s="61"/>
      <c r="L74" s="61"/>
      <c r="M74" s="61"/>
      <c r="N74" s="61"/>
      <c r="O74" s="61"/>
      <c r="P74" s="61">
        <v>681</v>
      </c>
      <c r="Q74" s="61"/>
      <c r="R74" s="708"/>
      <c r="S74" s="61"/>
      <c r="T74" s="150">
        <f>IF(NFI_Expiration=1,IF($A74&lt;VLOOKUP(I$5,NFI,5,0),1,0)*Data_NFI_t[[#This Row],[Hygiene Kit]],0)</f>
        <v>0</v>
      </c>
      <c r="U74" s="150">
        <f>IF(NFI_Expiration=1,IF($A74&lt;VLOOKUP(J$5,NFI,5,0),1,0)*Data_NFI_t[[#This Row],[NFI Core Kit]],0)</f>
        <v>0</v>
      </c>
      <c r="V74" s="131">
        <f>IF(NFI_Expiration=1,IF($A74&lt;VLOOKUP(K$5,NFI,5,0),1,0)*Data_NFI_t[[#This Row],[Sanitary Kit]],0)</f>
        <v>0</v>
      </c>
      <c r="W74" s="131">
        <f>IF(NFI_Expiration=1,IF($A74&lt;VLOOKUP(L$5,NFI,5,0),1,0)*Data_NFI_t[[#This Row],[Mosquito net]],0)</f>
        <v>0</v>
      </c>
      <c r="X74" s="131">
        <f>IF(NFI_Expiration=1,IF($A74&lt;VLOOKUP(M$5,NFI,5,0),1,0)*Data_NFI_t[[#This Row],[Tarpaulin]],0)</f>
        <v>0</v>
      </c>
      <c r="Y74" s="131">
        <f>IF(NFI_Expiration=1,IF($A74&lt;VLOOKUP(N$5,NFI,5,0),1,0)*Data_NFI_t[[#This Row],[Blanket]],0)</f>
        <v>0</v>
      </c>
      <c r="Z74" s="131">
        <f>IF(NFI_Expiration=1,IF($A74&lt;VLOOKUP(O$5,NFI,5,0),1,0)*Data_NFI_t[[#This Row],[Kitchen Set]],0)</f>
        <v>0</v>
      </c>
      <c r="AA74" s="131">
        <f>IF(NFI_Expiration=1,IF($A74&lt;VLOOKUP(P$5,NFI,5,0),1,0)*Data_NFI_t[[#This Row],[Complementary Kit]],0)</f>
        <v>0</v>
      </c>
      <c r="AB74" s="131">
        <f>IF(NFI_Expiration=1,IF($A74&lt;VLOOKUP(Q$5,NFI,5,0),1,0)*Data_NFI_t[[#This Row],[Plastic Bucket]],0)</f>
        <v>0</v>
      </c>
      <c r="AC74" s="131">
        <f>IF(NFI_Expiration=1,IF($A74&lt;VLOOKUP(R$5,NFI,5,0),1,0)*Data_NFI_t[[#This Row],[Jerry Can]],0)</f>
        <v>0</v>
      </c>
      <c r="AD74" s="150">
        <f>IF(NFI_Expiration=1,IF($A74&lt;VLOOKUP(S$5,NFI,5,0),1,0)*Data_NFI_t[[#This Row],[Plastic Mat]],0)*IF(Data_NFI_t[[#This Row],[Distribution Date]]&gt;"01-04-2014",1,2.5)</f>
        <v>0</v>
      </c>
      <c r="AE74" s="150" t="str">
        <f ca="1">IFERROR(OFFSET(Camp_List[P_Code],MATCH(Data_NFI_t[[#This Row],[Camp Name]],Camp_List[Camp Name],0)-1,0,1,1),"")</f>
        <v>MMR012CMP019</v>
      </c>
      <c r="AF74" s="714" t="str">
        <f ca="1">IFERROR(OFFSET(Camp_List[Status],MATCH(Data_NFI_t[[#This Row],[Camp Name]],Camp_List[Camp Name],0)-1,0,1,1),"")</f>
        <v>Open</v>
      </c>
    </row>
    <row r="75" spans="1:32" s="102" customFormat="1" ht="15" customHeight="1" x14ac:dyDescent="0.25">
      <c r="A75" s="265">
        <f t="shared" si="1"/>
        <v>16.233333333333334</v>
      </c>
      <c r="B75" s="265">
        <f>YEAR(Data_NFI_t[[#This Row],[Distribution Date]])</f>
        <v>2014</v>
      </c>
      <c r="C75" s="738">
        <v>41852</v>
      </c>
      <c r="D75" s="655" t="s">
        <v>926</v>
      </c>
      <c r="E75" s="654" t="s">
        <v>926</v>
      </c>
      <c r="F75" s="655" t="s">
        <v>7</v>
      </c>
      <c r="G75" s="31" t="s">
        <v>14</v>
      </c>
      <c r="H75" s="31" t="s">
        <v>39</v>
      </c>
      <c r="I75" s="31"/>
      <c r="J75" s="61"/>
      <c r="K75" s="61"/>
      <c r="L75" s="61"/>
      <c r="M75" s="61"/>
      <c r="N75" s="61"/>
      <c r="O75" s="61"/>
      <c r="P75" s="61">
        <v>24</v>
      </c>
      <c r="Q75" s="61"/>
      <c r="R75" s="708"/>
      <c r="S75" s="61"/>
      <c r="T75" s="150">
        <f>IF(NFI_Expiration=1,IF($A75&lt;VLOOKUP(I$5,NFI,5,0),1,0)*Data_NFI_t[[#This Row],[Hygiene Kit]],0)</f>
        <v>0</v>
      </c>
      <c r="U75" s="150">
        <f>IF(NFI_Expiration=1,IF($A75&lt;VLOOKUP(J$5,NFI,5,0),1,0)*Data_NFI_t[[#This Row],[NFI Core Kit]],0)</f>
        <v>0</v>
      </c>
      <c r="V75" s="131">
        <f>IF(NFI_Expiration=1,IF($A75&lt;VLOOKUP(K$5,NFI,5,0),1,0)*Data_NFI_t[[#This Row],[Sanitary Kit]],0)</f>
        <v>0</v>
      </c>
      <c r="W75" s="131">
        <f>IF(NFI_Expiration=1,IF($A75&lt;VLOOKUP(L$5,NFI,5,0),1,0)*Data_NFI_t[[#This Row],[Mosquito net]],0)</f>
        <v>0</v>
      </c>
      <c r="X75" s="131">
        <f>IF(NFI_Expiration=1,IF($A75&lt;VLOOKUP(M$5,NFI,5,0),1,0)*Data_NFI_t[[#This Row],[Tarpaulin]],0)</f>
        <v>0</v>
      </c>
      <c r="Y75" s="131">
        <f>IF(NFI_Expiration=1,IF($A75&lt;VLOOKUP(N$5,NFI,5,0),1,0)*Data_NFI_t[[#This Row],[Blanket]],0)</f>
        <v>0</v>
      </c>
      <c r="Z75" s="131">
        <f>IF(NFI_Expiration=1,IF($A75&lt;VLOOKUP(O$5,NFI,5,0),1,0)*Data_NFI_t[[#This Row],[Kitchen Set]],0)</f>
        <v>0</v>
      </c>
      <c r="AA75" s="131">
        <f>IF(NFI_Expiration=1,IF($A75&lt;VLOOKUP(P$5,NFI,5,0),1,0)*Data_NFI_t[[#This Row],[Complementary Kit]],0)</f>
        <v>0</v>
      </c>
      <c r="AB75" s="131">
        <f>IF(NFI_Expiration=1,IF($A75&lt;VLOOKUP(Q$5,NFI,5,0),1,0)*Data_NFI_t[[#This Row],[Plastic Bucket]],0)</f>
        <v>0</v>
      </c>
      <c r="AC75" s="131">
        <f>IF(NFI_Expiration=1,IF($A75&lt;VLOOKUP(R$5,NFI,5,0),1,0)*Data_NFI_t[[#This Row],[Jerry Can]],0)</f>
        <v>0</v>
      </c>
      <c r="AD75" s="150">
        <f>IF(NFI_Expiration=1,IF($A75&lt;VLOOKUP(S$5,NFI,5,0),1,0)*Data_NFI_t[[#This Row],[Plastic Mat]],0)*IF(Data_NFI_t[[#This Row],[Distribution Date]]&gt;"01-04-2014",1,2.5)</f>
        <v>0</v>
      </c>
      <c r="AE75" s="150" t="str">
        <f ca="1">IFERROR(OFFSET(Camp_List[P_Code],MATCH(Data_NFI_t[[#This Row],[Camp Name]],Camp_List[Camp Name],0)-1,0,1,1),"")</f>
        <v>MMR012CMP015</v>
      </c>
      <c r="AF75" s="714" t="str">
        <f ca="1">IFERROR(OFFSET(Camp_List[Status],MATCH(Data_NFI_t[[#This Row],[Camp Name]],Camp_List[Camp Name],0)-1,0,1,1),"")</f>
        <v>Open</v>
      </c>
    </row>
    <row r="76" spans="1:32" s="102" customFormat="1" ht="15" customHeight="1" x14ac:dyDescent="0.25">
      <c r="A76" s="265">
        <f t="shared" si="1"/>
        <v>16.233333333333334</v>
      </c>
      <c r="B76" s="265">
        <f>YEAR(Data_NFI_t[[#This Row],[Distribution Date]])</f>
        <v>2014</v>
      </c>
      <c r="C76" s="738">
        <v>41852</v>
      </c>
      <c r="D76" s="655" t="s">
        <v>926</v>
      </c>
      <c r="E76" s="654" t="s">
        <v>926</v>
      </c>
      <c r="F76" s="655" t="s">
        <v>7</v>
      </c>
      <c r="G76" s="31" t="s">
        <v>20</v>
      </c>
      <c r="H76" s="31" t="s">
        <v>98</v>
      </c>
      <c r="I76" s="31"/>
      <c r="J76" s="61"/>
      <c r="K76" s="61"/>
      <c r="L76" s="61"/>
      <c r="M76" s="61"/>
      <c r="N76" s="61"/>
      <c r="O76" s="61"/>
      <c r="P76" s="61">
        <v>183</v>
      </c>
      <c r="Q76" s="61"/>
      <c r="R76" s="708"/>
      <c r="S76" s="61"/>
      <c r="T76" s="150">
        <f>IF(NFI_Expiration=1,IF($A76&lt;VLOOKUP(I$5,NFI,5,0),1,0)*Data_NFI_t[[#This Row],[Hygiene Kit]],0)</f>
        <v>0</v>
      </c>
      <c r="U76" s="150">
        <f>IF(NFI_Expiration=1,IF($A76&lt;VLOOKUP(J$5,NFI,5,0),1,0)*Data_NFI_t[[#This Row],[NFI Core Kit]],0)</f>
        <v>0</v>
      </c>
      <c r="V76" s="131">
        <f>IF(NFI_Expiration=1,IF($A76&lt;VLOOKUP(K$5,NFI,5,0),1,0)*Data_NFI_t[[#This Row],[Sanitary Kit]],0)</f>
        <v>0</v>
      </c>
      <c r="W76" s="131">
        <f>IF(NFI_Expiration=1,IF($A76&lt;VLOOKUP(L$5,NFI,5,0),1,0)*Data_NFI_t[[#This Row],[Mosquito net]],0)</f>
        <v>0</v>
      </c>
      <c r="X76" s="131">
        <f>IF(NFI_Expiration=1,IF($A76&lt;VLOOKUP(M$5,NFI,5,0),1,0)*Data_NFI_t[[#This Row],[Tarpaulin]],0)</f>
        <v>0</v>
      </c>
      <c r="Y76" s="131">
        <f>IF(NFI_Expiration=1,IF($A76&lt;VLOOKUP(N$5,NFI,5,0),1,0)*Data_NFI_t[[#This Row],[Blanket]],0)</f>
        <v>0</v>
      </c>
      <c r="Z76" s="131">
        <f>IF(NFI_Expiration=1,IF($A76&lt;VLOOKUP(O$5,NFI,5,0),1,0)*Data_NFI_t[[#This Row],[Kitchen Set]],0)</f>
        <v>0</v>
      </c>
      <c r="AA76" s="131">
        <f>IF(NFI_Expiration=1,IF($A76&lt;VLOOKUP(P$5,NFI,5,0),1,0)*Data_NFI_t[[#This Row],[Complementary Kit]],0)</f>
        <v>0</v>
      </c>
      <c r="AB76" s="131">
        <f>IF(NFI_Expiration=1,IF($A76&lt;VLOOKUP(Q$5,NFI,5,0),1,0)*Data_NFI_t[[#This Row],[Plastic Bucket]],0)</f>
        <v>0</v>
      </c>
      <c r="AC76" s="131">
        <f>IF(NFI_Expiration=1,IF($A76&lt;VLOOKUP(R$5,NFI,5,0),1,0)*Data_NFI_t[[#This Row],[Jerry Can]],0)</f>
        <v>0</v>
      </c>
      <c r="AD76" s="150">
        <f>IF(NFI_Expiration=1,IF($A76&lt;VLOOKUP(S$5,NFI,5,0),1,0)*Data_NFI_t[[#This Row],[Plastic Mat]],0)*IF(Data_NFI_t[[#This Row],[Distribution Date]]&gt;"01-04-2014",1,2.5)</f>
        <v>0</v>
      </c>
      <c r="AE76" s="150" t="str">
        <f ca="1">IFERROR(OFFSET(Camp_List[P_Code],MATCH(Data_NFI_t[[#This Row],[Camp Name]],Camp_List[Camp Name],0)-1,0,1,1),"")</f>
        <v>MMR012CMP076</v>
      </c>
      <c r="AF76" s="714" t="str">
        <f ca="1">IFERROR(OFFSET(Camp_List[Status],MATCH(Data_NFI_t[[#This Row],[Camp Name]],Camp_List[Camp Name],0)-1,0,1,1),"")</f>
        <v>Close</v>
      </c>
    </row>
    <row r="77" spans="1:32" s="102" customFormat="1" ht="15" customHeight="1" x14ac:dyDescent="0.25">
      <c r="A77" s="265">
        <f t="shared" si="1"/>
        <v>16.233333333333334</v>
      </c>
      <c r="B77" s="265">
        <f>YEAR(Data_NFI_t[[#This Row],[Distribution Date]])</f>
        <v>2014</v>
      </c>
      <c r="C77" s="738">
        <v>41852</v>
      </c>
      <c r="D77" s="655" t="s">
        <v>926</v>
      </c>
      <c r="E77" s="654" t="s">
        <v>926</v>
      </c>
      <c r="F77" s="655" t="s">
        <v>7</v>
      </c>
      <c r="G77" s="31" t="s">
        <v>20</v>
      </c>
      <c r="H77" s="31" t="s">
        <v>100</v>
      </c>
      <c r="I77" s="31"/>
      <c r="J77" s="61"/>
      <c r="K77" s="61"/>
      <c r="L77" s="61"/>
      <c r="M77" s="61"/>
      <c r="N77" s="61"/>
      <c r="O77" s="61"/>
      <c r="P77" s="61">
        <v>162</v>
      </c>
      <c r="Q77" s="61"/>
      <c r="R77" s="708"/>
      <c r="S77" s="61"/>
      <c r="T77" s="150">
        <f>IF(NFI_Expiration=1,IF($A77&lt;VLOOKUP(I$5,NFI,5,0),1,0)*Data_NFI_t[[#This Row],[Hygiene Kit]],0)</f>
        <v>0</v>
      </c>
      <c r="U77" s="150">
        <f>IF(NFI_Expiration=1,IF($A77&lt;VLOOKUP(J$5,NFI,5,0),1,0)*Data_NFI_t[[#This Row],[NFI Core Kit]],0)</f>
        <v>0</v>
      </c>
      <c r="V77" s="131">
        <f>IF(NFI_Expiration=1,IF($A77&lt;VLOOKUP(K$5,NFI,5,0),1,0)*Data_NFI_t[[#This Row],[Sanitary Kit]],0)</f>
        <v>0</v>
      </c>
      <c r="W77" s="131">
        <f>IF(NFI_Expiration=1,IF($A77&lt;VLOOKUP(L$5,NFI,5,0),1,0)*Data_NFI_t[[#This Row],[Mosquito net]],0)</f>
        <v>0</v>
      </c>
      <c r="X77" s="131">
        <f>IF(NFI_Expiration=1,IF($A77&lt;VLOOKUP(M$5,NFI,5,0),1,0)*Data_NFI_t[[#This Row],[Tarpaulin]],0)</f>
        <v>0</v>
      </c>
      <c r="Y77" s="131">
        <f>IF(NFI_Expiration=1,IF($A77&lt;VLOOKUP(N$5,NFI,5,0),1,0)*Data_NFI_t[[#This Row],[Blanket]],0)</f>
        <v>0</v>
      </c>
      <c r="Z77" s="131">
        <f>IF(NFI_Expiration=1,IF($A77&lt;VLOOKUP(O$5,NFI,5,0),1,0)*Data_NFI_t[[#This Row],[Kitchen Set]],0)</f>
        <v>0</v>
      </c>
      <c r="AA77" s="131">
        <f>IF(NFI_Expiration=1,IF($A77&lt;VLOOKUP(P$5,NFI,5,0),1,0)*Data_NFI_t[[#This Row],[Complementary Kit]],0)</f>
        <v>0</v>
      </c>
      <c r="AB77" s="131">
        <f>IF(NFI_Expiration=1,IF($A77&lt;VLOOKUP(Q$5,NFI,5,0),1,0)*Data_NFI_t[[#This Row],[Plastic Bucket]],0)</f>
        <v>0</v>
      </c>
      <c r="AC77" s="131">
        <f>IF(NFI_Expiration=1,IF($A77&lt;VLOOKUP(R$5,NFI,5,0),1,0)*Data_NFI_t[[#This Row],[Jerry Can]],0)</f>
        <v>0</v>
      </c>
      <c r="AD77" s="150">
        <f>IF(NFI_Expiration=1,IF($A77&lt;VLOOKUP(S$5,NFI,5,0),1,0)*Data_NFI_t[[#This Row],[Plastic Mat]],0)*IF(Data_NFI_t[[#This Row],[Distribution Date]]&gt;"01-04-2014",1,2.5)</f>
        <v>0</v>
      </c>
      <c r="AE77" s="150" t="str">
        <f ca="1">IFERROR(OFFSET(Camp_List[P_Code],MATCH(Data_NFI_t[[#This Row],[Camp Name]],Camp_List[Camp Name],0)-1,0,1,1),"")</f>
        <v>MMR012CMP078</v>
      </c>
      <c r="AF77" s="714" t="str">
        <f ca="1">IFERROR(OFFSET(Camp_List[Status],MATCH(Data_NFI_t[[#This Row],[Camp Name]],Camp_List[Camp Name],0)-1,0,1,1),"")</f>
        <v>Close</v>
      </c>
    </row>
    <row r="78" spans="1:32" s="102" customFormat="1" ht="15" customHeight="1" x14ac:dyDescent="0.25">
      <c r="A78" s="265">
        <f t="shared" si="1"/>
        <v>16.233333333333334</v>
      </c>
      <c r="B78" s="265">
        <f>YEAR(Data_NFI_t[[#This Row],[Distribution Date]])</f>
        <v>2014</v>
      </c>
      <c r="C78" s="738">
        <v>41852</v>
      </c>
      <c r="D78" s="655" t="s">
        <v>926</v>
      </c>
      <c r="E78" s="654" t="s">
        <v>926</v>
      </c>
      <c r="F78" s="655" t="s">
        <v>7</v>
      </c>
      <c r="G78" s="31" t="s">
        <v>20</v>
      </c>
      <c r="H78" s="31" t="s">
        <v>99</v>
      </c>
      <c r="I78" s="31"/>
      <c r="J78" s="61"/>
      <c r="K78" s="61"/>
      <c r="L78" s="61"/>
      <c r="M78" s="61"/>
      <c r="N78" s="61"/>
      <c r="O78" s="61"/>
      <c r="P78" s="61">
        <v>192</v>
      </c>
      <c r="Q78" s="61"/>
      <c r="R78" s="708"/>
      <c r="S78" s="61"/>
      <c r="T78" s="150">
        <f>IF(NFI_Expiration=1,IF($A78&lt;VLOOKUP(I$5,NFI,5,0),1,0)*Data_NFI_t[[#This Row],[Hygiene Kit]],0)</f>
        <v>0</v>
      </c>
      <c r="U78" s="150">
        <f>IF(NFI_Expiration=1,IF($A78&lt;VLOOKUP(J$5,NFI,5,0),1,0)*Data_NFI_t[[#This Row],[NFI Core Kit]],0)</f>
        <v>0</v>
      </c>
      <c r="V78" s="131">
        <f>IF(NFI_Expiration=1,IF($A78&lt;VLOOKUP(K$5,NFI,5,0),1,0)*Data_NFI_t[[#This Row],[Sanitary Kit]],0)</f>
        <v>0</v>
      </c>
      <c r="W78" s="131">
        <f>IF(NFI_Expiration=1,IF($A78&lt;VLOOKUP(L$5,NFI,5,0),1,0)*Data_NFI_t[[#This Row],[Mosquito net]],0)</f>
        <v>0</v>
      </c>
      <c r="X78" s="131">
        <f>IF(NFI_Expiration=1,IF($A78&lt;VLOOKUP(M$5,NFI,5,0),1,0)*Data_NFI_t[[#This Row],[Tarpaulin]],0)</f>
        <v>0</v>
      </c>
      <c r="Y78" s="131">
        <f>IF(NFI_Expiration=1,IF($A78&lt;VLOOKUP(N$5,NFI,5,0),1,0)*Data_NFI_t[[#This Row],[Blanket]],0)</f>
        <v>0</v>
      </c>
      <c r="Z78" s="131">
        <f>IF(NFI_Expiration=1,IF($A78&lt;VLOOKUP(O$5,NFI,5,0),1,0)*Data_NFI_t[[#This Row],[Kitchen Set]],0)</f>
        <v>0</v>
      </c>
      <c r="AA78" s="131">
        <f>IF(NFI_Expiration=1,IF($A78&lt;VLOOKUP(P$5,NFI,5,0),1,0)*Data_NFI_t[[#This Row],[Complementary Kit]],0)</f>
        <v>0</v>
      </c>
      <c r="AB78" s="131">
        <f>IF(NFI_Expiration=1,IF($A78&lt;VLOOKUP(Q$5,NFI,5,0),1,0)*Data_NFI_t[[#This Row],[Plastic Bucket]],0)</f>
        <v>0</v>
      </c>
      <c r="AC78" s="131">
        <f>IF(NFI_Expiration=1,IF($A78&lt;VLOOKUP(R$5,NFI,5,0),1,0)*Data_NFI_t[[#This Row],[Jerry Can]],0)</f>
        <v>0</v>
      </c>
      <c r="AD78" s="150">
        <f>IF(NFI_Expiration=1,IF($A78&lt;VLOOKUP(S$5,NFI,5,0),1,0)*Data_NFI_t[[#This Row],[Plastic Mat]],0)*IF(Data_NFI_t[[#This Row],[Distribution Date]]&gt;"01-04-2014",1,2.5)</f>
        <v>0</v>
      </c>
      <c r="AE78" s="150" t="str">
        <f ca="1">IFERROR(OFFSET(Camp_List[P_Code],MATCH(Data_NFI_t[[#This Row],[Camp Name]],Camp_List[Camp Name],0)-1,0,1,1),"")</f>
        <v>MMR012CMP077</v>
      </c>
      <c r="AF78" s="714" t="str">
        <f ca="1">IFERROR(OFFSET(Camp_List[Status],MATCH(Data_NFI_t[[#This Row],[Camp Name]],Camp_List[Camp Name],0)-1,0,1,1),"")</f>
        <v>Close</v>
      </c>
    </row>
    <row r="79" spans="1:32" s="102" customFormat="1" ht="15" customHeight="1" x14ac:dyDescent="0.25">
      <c r="A79" s="265">
        <f t="shared" si="1"/>
        <v>16.233333333333334</v>
      </c>
      <c r="B79" s="265">
        <f>YEAR(Data_NFI_t[[#This Row],[Distribution Date]])</f>
        <v>2014</v>
      </c>
      <c r="C79" s="738">
        <v>41852</v>
      </c>
      <c r="D79" s="655" t="s">
        <v>926</v>
      </c>
      <c r="E79" s="654" t="s">
        <v>926</v>
      </c>
      <c r="F79" s="655" t="s">
        <v>7</v>
      </c>
      <c r="G79" s="31" t="s">
        <v>20</v>
      </c>
      <c r="H79" s="31" t="s">
        <v>102</v>
      </c>
      <c r="I79" s="31"/>
      <c r="J79" s="61"/>
      <c r="K79" s="61"/>
      <c r="L79" s="61"/>
      <c r="M79" s="61"/>
      <c r="N79" s="61"/>
      <c r="O79" s="61"/>
      <c r="P79" s="61">
        <v>102</v>
      </c>
      <c r="Q79" s="61"/>
      <c r="R79" s="708"/>
      <c r="S79" s="61"/>
      <c r="T79" s="150">
        <f>IF(NFI_Expiration=1,IF($A79&lt;VLOOKUP(I$5,NFI,5,0),1,0)*Data_NFI_t[[#This Row],[Hygiene Kit]],0)</f>
        <v>0</v>
      </c>
      <c r="U79" s="150">
        <f>IF(NFI_Expiration=1,IF($A79&lt;VLOOKUP(J$5,NFI,5,0),1,0)*Data_NFI_t[[#This Row],[NFI Core Kit]],0)</f>
        <v>0</v>
      </c>
      <c r="V79" s="131">
        <f>IF(NFI_Expiration=1,IF($A79&lt;VLOOKUP(K$5,NFI,5,0),1,0)*Data_NFI_t[[#This Row],[Sanitary Kit]],0)</f>
        <v>0</v>
      </c>
      <c r="W79" s="131">
        <f>IF(NFI_Expiration=1,IF($A79&lt;VLOOKUP(L$5,NFI,5,0),1,0)*Data_NFI_t[[#This Row],[Mosquito net]],0)</f>
        <v>0</v>
      </c>
      <c r="X79" s="131">
        <f>IF(NFI_Expiration=1,IF($A79&lt;VLOOKUP(M$5,NFI,5,0),1,0)*Data_NFI_t[[#This Row],[Tarpaulin]],0)</f>
        <v>0</v>
      </c>
      <c r="Y79" s="131">
        <f>IF(NFI_Expiration=1,IF($A79&lt;VLOOKUP(N$5,NFI,5,0),1,0)*Data_NFI_t[[#This Row],[Blanket]],0)</f>
        <v>0</v>
      </c>
      <c r="Z79" s="131">
        <f>IF(NFI_Expiration=1,IF($A79&lt;VLOOKUP(O$5,NFI,5,0),1,0)*Data_NFI_t[[#This Row],[Kitchen Set]],0)</f>
        <v>0</v>
      </c>
      <c r="AA79" s="131">
        <f>IF(NFI_Expiration=1,IF($A79&lt;VLOOKUP(P$5,NFI,5,0),1,0)*Data_NFI_t[[#This Row],[Complementary Kit]],0)</f>
        <v>0</v>
      </c>
      <c r="AB79" s="131">
        <f>IF(NFI_Expiration=1,IF($A79&lt;VLOOKUP(Q$5,NFI,5,0),1,0)*Data_NFI_t[[#This Row],[Plastic Bucket]],0)</f>
        <v>0</v>
      </c>
      <c r="AC79" s="131">
        <f>IF(NFI_Expiration=1,IF($A79&lt;VLOOKUP(R$5,NFI,5,0),1,0)*Data_NFI_t[[#This Row],[Jerry Can]],0)</f>
        <v>0</v>
      </c>
      <c r="AD79" s="150">
        <f>IF(NFI_Expiration=1,IF($A79&lt;VLOOKUP(S$5,NFI,5,0),1,0)*Data_NFI_t[[#This Row],[Plastic Mat]],0)*IF(Data_NFI_t[[#This Row],[Distribution Date]]&gt;"01-04-2014",1,2.5)</f>
        <v>0</v>
      </c>
      <c r="AE79" s="150" t="str">
        <f ca="1">IFERROR(OFFSET(Camp_List[P_Code],MATCH(Data_NFI_t[[#This Row],[Camp Name]],Camp_List[Camp Name],0)-1,0,1,1),"")</f>
        <v>MMR012CMP080</v>
      </c>
      <c r="AF79" s="714" t="str">
        <f ca="1">IFERROR(OFFSET(Camp_List[Status],MATCH(Data_NFI_t[[#This Row],[Camp Name]],Camp_List[Camp Name],0)-1,0,1,1),"")</f>
        <v>Close</v>
      </c>
    </row>
    <row r="80" spans="1:32" s="102" customFormat="1" ht="15" customHeight="1" x14ac:dyDescent="0.25">
      <c r="A80" s="265">
        <f t="shared" si="1"/>
        <v>16.233333333333334</v>
      </c>
      <c r="B80" s="265">
        <f>YEAR(Data_NFI_t[[#This Row],[Distribution Date]])</f>
        <v>2014</v>
      </c>
      <c r="C80" s="738">
        <v>41852</v>
      </c>
      <c r="D80" s="655" t="s">
        <v>926</v>
      </c>
      <c r="E80" s="654" t="s">
        <v>926</v>
      </c>
      <c r="F80" s="655" t="s">
        <v>7</v>
      </c>
      <c r="G80" s="31" t="s">
        <v>20</v>
      </c>
      <c r="H80" s="31" t="s">
        <v>101</v>
      </c>
      <c r="I80" s="31"/>
      <c r="J80" s="61"/>
      <c r="K80" s="61"/>
      <c r="L80" s="61"/>
      <c r="M80" s="61"/>
      <c r="N80" s="61"/>
      <c r="O80" s="61"/>
      <c r="P80" s="61">
        <v>103</v>
      </c>
      <c r="Q80" s="61"/>
      <c r="R80" s="708"/>
      <c r="S80" s="61"/>
      <c r="T80" s="150">
        <f>IF(NFI_Expiration=1,IF($A80&lt;VLOOKUP(I$5,NFI,5,0),1,0)*Data_NFI_t[[#This Row],[Hygiene Kit]],0)</f>
        <v>0</v>
      </c>
      <c r="U80" s="150">
        <f>IF(NFI_Expiration=1,IF($A80&lt;VLOOKUP(J$5,NFI,5,0),1,0)*Data_NFI_t[[#This Row],[NFI Core Kit]],0)</f>
        <v>0</v>
      </c>
      <c r="V80" s="131">
        <f>IF(NFI_Expiration=1,IF($A80&lt;VLOOKUP(K$5,NFI,5,0),1,0)*Data_NFI_t[[#This Row],[Sanitary Kit]],0)</f>
        <v>0</v>
      </c>
      <c r="W80" s="131">
        <f>IF(NFI_Expiration=1,IF($A80&lt;VLOOKUP(L$5,NFI,5,0),1,0)*Data_NFI_t[[#This Row],[Mosquito net]],0)</f>
        <v>0</v>
      </c>
      <c r="X80" s="131">
        <f>IF(NFI_Expiration=1,IF($A80&lt;VLOOKUP(M$5,NFI,5,0),1,0)*Data_NFI_t[[#This Row],[Tarpaulin]],0)</f>
        <v>0</v>
      </c>
      <c r="Y80" s="131">
        <f>IF(NFI_Expiration=1,IF($A80&lt;VLOOKUP(N$5,NFI,5,0),1,0)*Data_NFI_t[[#This Row],[Blanket]],0)</f>
        <v>0</v>
      </c>
      <c r="Z80" s="131">
        <f>IF(NFI_Expiration=1,IF($A80&lt;VLOOKUP(O$5,NFI,5,0),1,0)*Data_NFI_t[[#This Row],[Kitchen Set]],0)</f>
        <v>0</v>
      </c>
      <c r="AA80" s="131">
        <f>IF(NFI_Expiration=1,IF($A80&lt;VLOOKUP(P$5,NFI,5,0),1,0)*Data_NFI_t[[#This Row],[Complementary Kit]],0)</f>
        <v>0</v>
      </c>
      <c r="AB80" s="131">
        <f>IF(NFI_Expiration=1,IF($A80&lt;VLOOKUP(Q$5,NFI,5,0),1,0)*Data_NFI_t[[#This Row],[Plastic Bucket]],0)</f>
        <v>0</v>
      </c>
      <c r="AC80" s="131">
        <f>IF(NFI_Expiration=1,IF($A80&lt;VLOOKUP(R$5,NFI,5,0),1,0)*Data_NFI_t[[#This Row],[Jerry Can]],0)</f>
        <v>0</v>
      </c>
      <c r="AD80" s="150">
        <f>IF(NFI_Expiration=1,IF($A80&lt;VLOOKUP(S$5,NFI,5,0),1,0)*Data_NFI_t[[#This Row],[Plastic Mat]],0)*IF(Data_NFI_t[[#This Row],[Distribution Date]]&gt;"01-04-2014",1,2.5)</f>
        <v>0</v>
      </c>
      <c r="AE80" s="150" t="str">
        <f ca="1">IFERROR(OFFSET(Camp_List[P_Code],MATCH(Data_NFI_t[[#This Row],[Camp Name]],Camp_List[Camp Name],0)-1,0,1,1),"")</f>
        <v>MMR012CMP079</v>
      </c>
      <c r="AF80" s="714" t="str">
        <f ca="1">IFERROR(OFFSET(Camp_List[Status],MATCH(Data_NFI_t[[#This Row],[Camp Name]],Camp_List[Camp Name],0)-1,0,1,1),"")</f>
        <v>Close</v>
      </c>
    </row>
    <row r="81" spans="1:32" s="102" customFormat="1" ht="15" customHeight="1" x14ac:dyDescent="0.25">
      <c r="A81" s="265">
        <f t="shared" si="1"/>
        <v>16.233333333333334</v>
      </c>
      <c r="B81" s="265">
        <f>YEAR(Data_NFI_t[[#This Row],[Distribution Date]])</f>
        <v>2014</v>
      </c>
      <c r="C81" s="738">
        <v>41852</v>
      </c>
      <c r="D81" s="655" t="s">
        <v>926</v>
      </c>
      <c r="E81" s="654" t="s">
        <v>926</v>
      </c>
      <c r="F81" s="655" t="s">
        <v>7</v>
      </c>
      <c r="G81" s="31" t="s">
        <v>20</v>
      </c>
      <c r="H81" s="31" t="s">
        <v>103</v>
      </c>
      <c r="I81" s="31"/>
      <c r="J81" s="61"/>
      <c r="K81" s="61"/>
      <c r="L81" s="61"/>
      <c r="M81" s="61"/>
      <c r="N81" s="61"/>
      <c r="O81" s="61"/>
      <c r="P81" s="61">
        <v>175</v>
      </c>
      <c r="Q81" s="61"/>
      <c r="R81" s="708"/>
      <c r="S81" s="61"/>
      <c r="T81" s="150">
        <f>IF(NFI_Expiration=1,IF($A81&lt;VLOOKUP(I$5,NFI,5,0),1,0)*Data_NFI_t[[#This Row],[Hygiene Kit]],0)</f>
        <v>0</v>
      </c>
      <c r="U81" s="150">
        <f>IF(NFI_Expiration=1,IF($A81&lt;VLOOKUP(J$5,NFI,5,0),1,0)*Data_NFI_t[[#This Row],[NFI Core Kit]],0)</f>
        <v>0</v>
      </c>
      <c r="V81" s="131">
        <f>IF(NFI_Expiration=1,IF($A81&lt;VLOOKUP(K$5,NFI,5,0),1,0)*Data_NFI_t[[#This Row],[Sanitary Kit]],0)</f>
        <v>0</v>
      </c>
      <c r="W81" s="131">
        <f>IF(NFI_Expiration=1,IF($A81&lt;VLOOKUP(L$5,NFI,5,0),1,0)*Data_NFI_t[[#This Row],[Mosquito net]],0)</f>
        <v>0</v>
      </c>
      <c r="X81" s="131">
        <f>IF(NFI_Expiration=1,IF($A81&lt;VLOOKUP(M$5,NFI,5,0),1,0)*Data_NFI_t[[#This Row],[Tarpaulin]],0)</f>
        <v>0</v>
      </c>
      <c r="Y81" s="131">
        <f>IF(NFI_Expiration=1,IF($A81&lt;VLOOKUP(N$5,NFI,5,0),1,0)*Data_NFI_t[[#This Row],[Blanket]],0)</f>
        <v>0</v>
      </c>
      <c r="Z81" s="131">
        <f>IF(NFI_Expiration=1,IF($A81&lt;VLOOKUP(O$5,NFI,5,0),1,0)*Data_NFI_t[[#This Row],[Kitchen Set]],0)</f>
        <v>0</v>
      </c>
      <c r="AA81" s="131">
        <f>IF(NFI_Expiration=1,IF($A81&lt;VLOOKUP(P$5,NFI,5,0),1,0)*Data_NFI_t[[#This Row],[Complementary Kit]],0)</f>
        <v>0</v>
      </c>
      <c r="AB81" s="131">
        <f>IF(NFI_Expiration=1,IF($A81&lt;VLOOKUP(Q$5,NFI,5,0),1,0)*Data_NFI_t[[#This Row],[Plastic Bucket]],0)</f>
        <v>0</v>
      </c>
      <c r="AC81" s="131">
        <f>IF(NFI_Expiration=1,IF($A81&lt;VLOOKUP(R$5,NFI,5,0),1,0)*Data_NFI_t[[#This Row],[Jerry Can]],0)</f>
        <v>0</v>
      </c>
      <c r="AD81" s="150">
        <f>IF(NFI_Expiration=1,IF($A81&lt;VLOOKUP(S$5,NFI,5,0),1,0)*Data_NFI_t[[#This Row],[Plastic Mat]],0)*IF(Data_NFI_t[[#This Row],[Distribution Date]]&gt;"01-04-2014",1,2.5)</f>
        <v>0</v>
      </c>
      <c r="AE81" s="150" t="str">
        <f ca="1">IFERROR(OFFSET(Camp_List[P_Code],MATCH(Data_NFI_t[[#This Row],[Camp Name]],Camp_List[Camp Name],0)-1,0,1,1),"")</f>
        <v>MMR012CMP081</v>
      </c>
      <c r="AF81" s="714" t="str">
        <f ca="1">IFERROR(OFFSET(Camp_List[Status],MATCH(Data_NFI_t[[#This Row],[Camp Name]],Camp_List[Camp Name],0)-1,0,1,1),"")</f>
        <v>Close</v>
      </c>
    </row>
    <row r="82" spans="1:32" s="102" customFormat="1" ht="15" customHeight="1" x14ac:dyDescent="0.25">
      <c r="A82" s="265">
        <f t="shared" si="1"/>
        <v>16.600000000000001</v>
      </c>
      <c r="B82" s="265">
        <f>YEAR(Data_NFI_t[[#This Row],[Distribution Date]])</f>
        <v>2014</v>
      </c>
      <c r="C82" s="738">
        <v>41841</v>
      </c>
      <c r="D82" s="655" t="s">
        <v>291</v>
      </c>
      <c r="E82" s="654" t="s">
        <v>291</v>
      </c>
      <c r="F82" s="655" t="s">
        <v>7</v>
      </c>
      <c r="G82" s="31" t="s">
        <v>19</v>
      </c>
      <c r="H82" s="31" t="s">
        <v>63</v>
      </c>
      <c r="I82" s="31"/>
      <c r="J82" s="61"/>
      <c r="K82" s="61"/>
      <c r="L82" s="61"/>
      <c r="M82" s="61">
        <v>304</v>
      </c>
      <c r="N82" s="61">
        <v>608</v>
      </c>
      <c r="O82" s="61"/>
      <c r="P82" s="61"/>
      <c r="Q82" s="61">
        <v>304</v>
      </c>
      <c r="R82" s="708"/>
      <c r="S82" s="61"/>
      <c r="T82" s="150">
        <f>IF(NFI_Expiration=1,IF($A82&lt;VLOOKUP(I$5,NFI,5,0),1,0)*Data_NFI_t[[#This Row],[Hygiene Kit]],0)</f>
        <v>0</v>
      </c>
      <c r="U82" s="150">
        <f>IF(NFI_Expiration=1,IF($A82&lt;VLOOKUP(J$5,NFI,5,0),1,0)*Data_NFI_t[[#This Row],[NFI Core Kit]],0)</f>
        <v>0</v>
      </c>
      <c r="V82" s="131">
        <f>IF(NFI_Expiration=1,IF($A82&lt;VLOOKUP(K$5,NFI,5,0),1,0)*Data_NFI_t[[#This Row],[Sanitary Kit]],0)</f>
        <v>0</v>
      </c>
      <c r="W82" s="131">
        <f>IF(NFI_Expiration=1,IF($A82&lt;VLOOKUP(L$5,NFI,5,0),1,0)*Data_NFI_t[[#This Row],[Mosquito net]],0)</f>
        <v>0</v>
      </c>
      <c r="X82" s="131">
        <f>IF(NFI_Expiration=1,IF($A82&lt;VLOOKUP(M$5,NFI,5,0),1,0)*Data_NFI_t[[#This Row],[Tarpaulin]],0)</f>
        <v>0</v>
      </c>
      <c r="Y82" s="131">
        <f>IF(NFI_Expiration=1,IF($A82&lt;VLOOKUP(N$5,NFI,5,0),1,0)*Data_NFI_t[[#This Row],[Blanket]],0)</f>
        <v>0</v>
      </c>
      <c r="Z82" s="131">
        <f>IF(NFI_Expiration=1,IF($A82&lt;VLOOKUP(O$5,NFI,5,0),1,0)*Data_NFI_t[[#This Row],[Kitchen Set]],0)</f>
        <v>0</v>
      </c>
      <c r="AA82" s="131">
        <f>IF(NFI_Expiration=1,IF($A82&lt;VLOOKUP(P$5,NFI,5,0),1,0)*Data_NFI_t[[#This Row],[Complementary Kit]],0)</f>
        <v>0</v>
      </c>
      <c r="AB82" s="131">
        <f>IF(NFI_Expiration=1,IF($A82&lt;VLOOKUP(Q$5,NFI,5,0),1,0)*Data_NFI_t[[#This Row],[Plastic Bucket]],0)</f>
        <v>0</v>
      </c>
      <c r="AC82" s="131">
        <f>IF(NFI_Expiration=1,IF($A82&lt;VLOOKUP(R$5,NFI,5,0),1,0)*Data_NFI_t[[#This Row],[Jerry Can]],0)</f>
        <v>0</v>
      </c>
      <c r="AD82" s="150">
        <f>IF(NFI_Expiration=1,IF($A82&lt;VLOOKUP(S$5,NFI,5,0),1,0)*Data_NFI_t[[#This Row],[Plastic Mat]],0)*IF(Data_NFI_t[[#This Row],[Distribution Date]]&gt;"01-04-2014",1,2.5)</f>
        <v>0</v>
      </c>
      <c r="AE82" s="150" t="str">
        <f ca="1">IFERROR(OFFSET(Camp_List[P_Code],MATCH(Data_NFI_t[[#This Row],[Camp Name]],Camp_List[Camp Name],0)-1,0,1,1),"")</f>
        <v>MMR012CMP041</v>
      </c>
      <c r="AF82" s="714" t="str">
        <f ca="1">IFERROR(OFFSET(Camp_List[Status],MATCH(Data_NFI_t[[#This Row],[Camp Name]],Camp_List[Camp Name],0)-1,0,1,1),"")</f>
        <v>Open</v>
      </c>
    </row>
    <row r="83" spans="1:32" s="102" customFormat="1" ht="15" customHeight="1" x14ac:dyDescent="0.25">
      <c r="A83" s="265">
        <f t="shared" si="1"/>
        <v>16.600000000000001</v>
      </c>
      <c r="B83" s="265">
        <f>YEAR(Data_NFI_t[[#This Row],[Distribution Date]])</f>
        <v>2014</v>
      </c>
      <c r="C83" s="738">
        <v>41841</v>
      </c>
      <c r="D83" s="655" t="s">
        <v>643</v>
      </c>
      <c r="E83" s="654" t="s">
        <v>643</v>
      </c>
      <c r="F83" s="655" t="s">
        <v>7</v>
      </c>
      <c r="G83" s="31" t="s">
        <v>19</v>
      </c>
      <c r="H83" s="31" t="s">
        <v>78</v>
      </c>
      <c r="I83" s="31"/>
      <c r="J83" s="61">
        <v>70</v>
      </c>
      <c r="K83" s="61"/>
      <c r="L83" s="61"/>
      <c r="M83" s="61"/>
      <c r="N83" s="61"/>
      <c r="O83" s="61"/>
      <c r="P83" s="61"/>
      <c r="Q83" s="61"/>
      <c r="R83" s="708"/>
      <c r="S83" s="61"/>
      <c r="T83" s="150">
        <f>IF(NFI_Expiration=1,IF($A83&lt;VLOOKUP(I$5,NFI,5,0),1,0)*Data_NFI_t[[#This Row],[Hygiene Kit]],0)</f>
        <v>0</v>
      </c>
      <c r="U83" s="150">
        <f>IF(NFI_Expiration=1,IF($A83&lt;VLOOKUP(J$5,NFI,5,0),1,0)*Data_NFI_t[[#This Row],[NFI Core Kit]],0)</f>
        <v>0</v>
      </c>
      <c r="V83" s="131">
        <f>IF(NFI_Expiration=1,IF($A83&lt;VLOOKUP(K$5,NFI,5,0),1,0)*Data_NFI_t[[#This Row],[Sanitary Kit]],0)</f>
        <v>0</v>
      </c>
      <c r="W83" s="131">
        <f>IF(NFI_Expiration=1,IF($A83&lt;VLOOKUP(L$5,NFI,5,0),1,0)*Data_NFI_t[[#This Row],[Mosquito net]],0)</f>
        <v>0</v>
      </c>
      <c r="X83" s="131">
        <f>IF(NFI_Expiration=1,IF($A83&lt;VLOOKUP(M$5,NFI,5,0),1,0)*Data_NFI_t[[#This Row],[Tarpaulin]],0)</f>
        <v>0</v>
      </c>
      <c r="Y83" s="131">
        <f>IF(NFI_Expiration=1,IF($A83&lt;VLOOKUP(N$5,NFI,5,0),1,0)*Data_NFI_t[[#This Row],[Blanket]],0)</f>
        <v>0</v>
      </c>
      <c r="Z83" s="131">
        <f>IF(NFI_Expiration=1,IF($A83&lt;VLOOKUP(O$5,NFI,5,0),1,0)*Data_NFI_t[[#This Row],[Kitchen Set]],0)</f>
        <v>0</v>
      </c>
      <c r="AA83" s="131">
        <f>IF(NFI_Expiration=1,IF($A83&lt;VLOOKUP(P$5,NFI,5,0),1,0)*Data_NFI_t[[#This Row],[Complementary Kit]],0)</f>
        <v>0</v>
      </c>
      <c r="AB83" s="131">
        <f>IF(NFI_Expiration=1,IF($A83&lt;VLOOKUP(Q$5,NFI,5,0),1,0)*Data_NFI_t[[#This Row],[Plastic Bucket]],0)</f>
        <v>0</v>
      </c>
      <c r="AC83" s="131">
        <f>IF(NFI_Expiration=1,IF($A83&lt;VLOOKUP(R$5,NFI,5,0),1,0)*Data_NFI_t[[#This Row],[Jerry Can]],0)</f>
        <v>0</v>
      </c>
      <c r="AD83" s="150">
        <f>IF(NFI_Expiration=1,IF($A83&lt;VLOOKUP(S$5,NFI,5,0),1,0)*Data_NFI_t[[#This Row],[Plastic Mat]],0)*IF(Data_NFI_t[[#This Row],[Distribution Date]]&gt;"01-04-2014",1,2.5)</f>
        <v>0</v>
      </c>
      <c r="AE83" s="150" t="str">
        <f ca="1">IFERROR(OFFSET(Camp_List[P_Code],MATCH(Data_NFI_t[[#This Row],[Camp Name]],Camp_List[Camp Name],0)-1,0,1,1),"")</f>
        <v>MMR012CMP056</v>
      </c>
      <c r="AF83" s="714" t="str">
        <f ca="1">IFERROR(OFFSET(Camp_List[Status],MATCH(Data_NFI_t[[#This Row],[Camp Name]],Camp_List[Camp Name],0)-1,0,1,1),"")</f>
        <v>Open</v>
      </c>
    </row>
    <row r="84" spans="1:32" s="102" customFormat="1" ht="15" customHeight="1" x14ac:dyDescent="0.25">
      <c r="A84" s="265">
        <f t="shared" si="1"/>
        <v>16.600000000000001</v>
      </c>
      <c r="B84" s="265">
        <f>YEAR(Data_NFI_t[[#This Row],[Distribution Date]])</f>
        <v>2014</v>
      </c>
      <c r="C84" s="738">
        <v>41841</v>
      </c>
      <c r="D84" s="655" t="s">
        <v>643</v>
      </c>
      <c r="E84" s="654" t="s">
        <v>643</v>
      </c>
      <c r="F84" s="655" t="s">
        <v>7</v>
      </c>
      <c r="G84" s="31" t="s">
        <v>19</v>
      </c>
      <c r="H84" s="31" t="s">
        <v>248</v>
      </c>
      <c r="I84" s="31"/>
      <c r="J84" s="61">
        <v>151</v>
      </c>
      <c r="K84" s="61"/>
      <c r="L84" s="61"/>
      <c r="M84" s="61"/>
      <c r="N84" s="61"/>
      <c r="O84" s="61"/>
      <c r="P84" s="61"/>
      <c r="Q84" s="61"/>
      <c r="R84" s="708"/>
      <c r="S84" s="61"/>
      <c r="T84" s="150">
        <f>IF(NFI_Expiration=1,IF($A84&lt;VLOOKUP(I$5,NFI,5,0),1,0)*Data_NFI_t[[#This Row],[Hygiene Kit]],0)</f>
        <v>0</v>
      </c>
      <c r="U84" s="150">
        <f>IF(NFI_Expiration=1,IF($A84&lt;VLOOKUP(J$5,NFI,5,0),1,0)*Data_NFI_t[[#This Row],[NFI Core Kit]],0)</f>
        <v>0</v>
      </c>
      <c r="V84" s="131">
        <f>IF(NFI_Expiration=1,IF($A84&lt;VLOOKUP(K$5,NFI,5,0),1,0)*Data_NFI_t[[#This Row],[Sanitary Kit]],0)</f>
        <v>0</v>
      </c>
      <c r="W84" s="131">
        <f>IF(NFI_Expiration=1,IF($A84&lt;VLOOKUP(L$5,NFI,5,0),1,0)*Data_NFI_t[[#This Row],[Mosquito net]],0)</f>
        <v>0</v>
      </c>
      <c r="X84" s="131">
        <f>IF(NFI_Expiration=1,IF($A84&lt;VLOOKUP(M$5,NFI,5,0),1,0)*Data_NFI_t[[#This Row],[Tarpaulin]],0)</f>
        <v>0</v>
      </c>
      <c r="Y84" s="131">
        <f>IF(NFI_Expiration=1,IF($A84&lt;VLOOKUP(N$5,NFI,5,0),1,0)*Data_NFI_t[[#This Row],[Blanket]],0)</f>
        <v>0</v>
      </c>
      <c r="Z84" s="131">
        <f>IF(NFI_Expiration=1,IF($A84&lt;VLOOKUP(O$5,NFI,5,0),1,0)*Data_NFI_t[[#This Row],[Kitchen Set]],0)</f>
        <v>0</v>
      </c>
      <c r="AA84" s="131">
        <f>IF(NFI_Expiration=1,IF($A84&lt;VLOOKUP(P$5,NFI,5,0),1,0)*Data_NFI_t[[#This Row],[Complementary Kit]],0)</f>
        <v>0</v>
      </c>
      <c r="AB84" s="131">
        <f>IF(NFI_Expiration=1,IF($A84&lt;VLOOKUP(Q$5,NFI,5,0),1,0)*Data_NFI_t[[#This Row],[Plastic Bucket]],0)</f>
        <v>0</v>
      </c>
      <c r="AC84" s="131">
        <f>IF(NFI_Expiration=1,IF($A84&lt;VLOOKUP(R$5,NFI,5,0),1,0)*Data_NFI_t[[#This Row],[Jerry Can]],0)</f>
        <v>0</v>
      </c>
      <c r="AD84" s="150">
        <f>IF(NFI_Expiration=1,IF($A84&lt;VLOOKUP(S$5,NFI,5,0),1,0)*Data_NFI_t[[#This Row],[Plastic Mat]],0)*IF(Data_NFI_t[[#This Row],[Distribution Date]]&gt;"01-04-2014",1,2.5)</f>
        <v>0</v>
      </c>
      <c r="AE84" s="150" t="str">
        <f ca="1">IFERROR(OFFSET(Camp_List[P_Code],MATCH(Data_NFI_t[[#This Row],[Camp Name]],Camp_List[Camp Name],0)-1,0,1,1),"")</f>
        <v>MMR012CMP093</v>
      </c>
      <c r="AF84" s="714" t="str">
        <f ca="1">IFERROR(OFFSET(Camp_List[Status],MATCH(Data_NFI_t[[#This Row],[Camp Name]],Camp_List[Camp Name],0)-1,0,1,1),"")</f>
        <v>Open</v>
      </c>
    </row>
    <row r="85" spans="1:32" s="102" customFormat="1" ht="15" customHeight="1" x14ac:dyDescent="0.25">
      <c r="A85" s="265">
        <f t="shared" si="1"/>
        <v>17.833333333333332</v>
      </c>
      <c r="B85" s="265">
        <f>YEAR(Data_NFI_t[[#This Row],[Distribution Date]])</f>
        <v>2014</v>
      </c>
      <c r="C85" s="738">
        <v>41804</v>
      </c>
      <c r="D85" s="655" t="s">
        <v>643</v>
      </c>
      <c r="E85" s="654" t="s">
        <v>643</v>
      </c>
      <c r="F85" s="655" t="s">
        <v>7</v>
      </c>
      <c r="G85" s="31" t="s">
        <v>19</v>
      </c>
      <c r="H85" s="31" t="s">
        <v>64</v>
      </c>
      <c r="I85" s="31"/>
      <c r="J85" s="61"/>
      <c r="K85" s="61"/>
      <c r="L85" s="61">
        <v>2</v>
      </c>
      <c r="M85" s="61">
        <v>1</v>
      </c>
      <c r="N85" s="61">
        <v>2</v>
      </c>
      <c r="O85" s="61">
        <v>1</v>
      </c>
      <c r="P85" s="61"/>
      <c r="Q85" s="61">
        <v>1</v>
      </c>
      <c r="R85" s="708"/>
      <c r="S85" s="61">
        <v>5</v>
      </c>
      <c r="T85" s="150">
        <f>IF(NFI_Expiration=1,IF($A85&lt;VLOOKUP(I$5,NFI,5,0),1,0)*Data_NFI_t[[#This Row],[Hygiene Kit]],0)</f>
        <v>0</v>
      </c>
      <c r="U85" s="150">
        <f>IF(NFI_Expiration=1,IF($A85&lt;VLOOKUP(J$5,NFI,5,0),1,0)*Data_NFI_t[[#This Row],[NFI Core Kit]],0)</f>
        <v>0</v>
      </c>
      <c r="V85" s="131">
        <f>IF(NFI_Expiration=1,IF($A85&lt;VLOOKUP(K$5,NFI,5,0),1,0)*Data_NFI_t[[#This Row],[Sanitary Kit]],0)</f>
        <v>0</v>
      </c>
      <c r="W85" s="131">
        <f>IF(NFI_Expiration=1,IF($A85&lt;VLOOKUP(L$5,NFI,5,0),1,0)*Data_NFI_t[[#This Row],[Mosquito net]],0)</f>
        <v>0</v>
      </c>
      <c r="X85" s="131">
        <f>IF(NFI_Expiration=1,IF($A85&lt;VLOOKUP(M$5,NFI,5,0),1,0)*Data_NFI_t[[#This Row],[Tarpaulin]],0)</f>
        <v>0</v>
      </c>
      <c r="Y85" s="131">
        <f>IF(NFI_Expiration=1,IF($A85&lt;VLOOKUP(N$5,NFI,5,0),1,0)*Data_NFI_t[[#This Row],[Blanket]],0)</f>
        <v>0</v>
      </c>
      <c r="Z85" s="131">
        <f>IF(NFI_Expiration=1,IF($A85&lt;VLOOKUP(O$5,NFI,5,0),1,0)*Data_NFI_t[[#This Row],[Kitchen Set]],0)</f>
        <v>0</v>
      </c>
      <c r="AA85" s="131">
        <f>IF(NFI_Expiration=1,IF($A85&lt;VLOOKUP(P$5,NFI,5,0),1,0)*Data_NFI_t[[#This Row],[Complementary Kit]],0)</f>
        <v>0</v>
      </c>
      <c r="AB85" s="131">
        <f>IF(NFI_Expiration=1,IF($A85&lt;VLOOKUP(Q$5,NFI,5,0),1,0)*Data_NFI_t[[#This Row],[Plastic Bucket]],0)</f>
        <v>0</v>
      </c>
      <c r="AC85" s="131">
        <f>IF(NFI_Expiration=1,IF($A85&lt;VLOOKUP(R$5,NFI,5,0),1,0)*Data_NFI_t[[#This Row],[Jerry Can]],0)</f>
        <v>0</v>
      </c>
      <c r="AD85" s="150">
        <f>IF(NFI_Expiration=1,IF($A85&lt;VLOOKUP(S$5,NFI,5,0),1,0)*Data_NFI_t[[#This Row],[Plastic Mat]],0)*IF(Data_NFI_t[[#This Row],[Distribution Date]]&gt;"01-04-2014",1,2.5)</f>
        <v>0</v>
      </c>
      <c r="AE85" s="150" t="str">
        <f ca="1">IFERROR(OFFSET(Camp_List[P_Code],MATCH(Data_NFI_t[[#This Row],[Camp Name]],Camp_List[Camp Name],0)-1,0,1,1),"")</f>
        <v>MMR012CMP042</v>
      </c>
      <c r="AF85" s="714" t="str">
        <f ca="1">IFERROR(OFFSET(Camp_List[Status],MATCH(Data_NFI_t[[#This Row],[Camp Name]],Camp_List[Camp Name],0)-1,0,1,1),"")</f>
        <v>Open</v>
      </c>
    </row>
    <row r="86" spans="1:32" s="102" customFormat="1" ht="15" customHeight="1" x14ac:dyDescent="0.25">
      <c r="A86" s="265">
        <f t="shared" si="1"/>
        <v>18.033333333333335</v>
      </c>
      <c r="B86" s="265">
        <f>YEAR(Data_NFI_t[[#This Row],[Distribution Date]])</f>
        <v>2014</v>
      </c>
      <c r="C86" s="738">
        <v>41798</v>
      </c>
      <c r="D86" s="655" t="s">
        <v>288</v>
      </c>
      <c r="E86" s="654" t="s">
        <v>288</v>
      </c>
      <c r="F86" s="655" t="s">
        <v>7</v>
      </c>
      <c r="G86" s="31" t="s">
        <v>19</v>
      </c>
      <c r="H86" s="31" t="s">
        <v>565</v>
      </c>
      <c r="I86" s="31"/>
      <c r="J86" s="61">
        <v>2404</v>
      </c>
      <c r="K86" s="61"/>
      <c r="L86" s="61">
        <v>4808</v>
      </c>
      <c r="M86" s="61">
        <v>2404</v>
      </c>
      <c r="N86" s="61">
        <v>4808</v>
      </c>
      <c r="O86" s="61">
        <v>2404</v>
      </c>
      <c r="P86" s="61"/>
      <c r="Q86" s="61">
        <v>2404</v>
      </c>
      <c r="R86" s="708"/>
      <c r="S86" s="61">
        <v>12020</v>
      </c>
      <c r="T86" s="150">
        <f>IF(NFI_Expiration=1,IF($A86&lt;VLOOKUP(I$5,NFI,5,0),1,0)*Data_NFI_t[[#This Row],[Hygiene Kit]],0)</f>
        <v>0</v>
      </c>
      <c r="U86" s="150">
        <f>IF(NFI_Expiration=1,IF($A86&lt;VLOOKUP(J$5,NFI,5,0),1,0)*Data_NFI_t[[#This Row],[NFI Core Kit]],0)</f>
        <v>0</v>
      </c>
      <c r="V86" s="131">
        <f>IF(NFI_Expiration=1,IF($A86&lt;VLOOKUP(K$5,NFI,5,0),1,0)*Data_NFI_t[[#This Row],[Sanitary Kit]],0)</f>
        <v>0</v>
      </c>
      <c r="W86" s="131">
        <f>IF(NFI_Expiration=1,IF($A86&lt;VLOOKUP(L$5,NFI,5,0),1,0)*Data_NFI_t[[#This Row],[Mosquito net]],0)</f>
        <v>0</v>
      </c>
      <c r="X86" s="131">
        <f>IF(NFI_Expiration=1,IF($A86&lt;VLOOKUP(M$5,NFI,5,0),1,0)*Data_NFI_t[[#This Row],[Tarpaulin]],0)</f>
        <v>0</v>
      </c>
      <c r="Y86" s="131">
        <f>IF(NFI_Expiration=1,IF($A86&lt;VLOOKUP(N$5,NFI,5,0),1,0)*Data_NFI_t[[#This Row],[Blanket]],0)</f>
        <v>0</v>
      </c>
      <c r="Z86" s="131">
        <f>IF(NFI_Expiration=1,IF($A86&lt;VLOOKUP(O$5,NFI,5,0),1,0)*Data_NFI_t[[#This Row],[Kitchen Set]],0)</f>
        <v>0</v>
      </c>
      <c r="AA86" s="131">
        <f>IF(NFI_Expiration=1,IF($A86&lt;VLOOKUP(P$5,NFI,5,0),1,0)*Data_NFI_t[[#This Row],[Complementary Kit]],0)</f>
        <v>0</v>
      </c>
      <c r="AB86" s="131">
        <f>IF(NFI_Expiration=1,IF($A86&lt;VLOOKUP(Q$5,NFI,5,0),1,0)*Data_NFI_t[[#This Row],[Plastic Bucket]],0)</f>
        <v>0</v>
      </c>
      <c r="AC86" s="131">
        <f>IF(NFI_Expiration=1,IF($A86&lt;VLOOKUP(R$5,NFI,5,0),1,0)*Data_NFI_t[[#This Row],[Jerry Can]],0)</f>
        <v>0</v>
      </c>
      <c r="AD86" s="150">
        <f>IF(NFI_Expiration=1,IF($A86&lt;VLOOKUP(S$5,NFI,5,0),1,0)*Data_NFI_t[[#This Row],[Plastic Mat]],0)*IF(Data_NFI_t[[#This Row],[Distribution Date]]&gt;"01-04-2014",1,2.5)</f>
        <v>0</v>
      </c>
      <c r="AE86" s="150" t="str">
        <f ca="1">IFERROR(OFFSET(Camp_List[P_Code],MATCH(Data_NFI_t[[#This Row],[Camp Name]],Camp_List[Camp Name],0)-1,0,1,1),"")</f>
        <v>MMR012CMP101</v>
      </c>
      <c r="AF86" s="714" t="str">
        <f ca="1">IFERROR(OFFSET(Camp_List[Status],MATCH(Data_NFI_t[[#This Row],[Camp Name]],Camp_List[Camp Name],0)-1,0,1,1),"")</f>
        <v>Close</v>
      </c>
    </row>
    <row r="87" spans="1:32" s="102" customFormat="1" ht="15" customHeight="1" x14ac:dyDescent="0.25">
      <c r="A87" s="265">
        <f t="shared" si="1"/>
        <v>20.3</v>
      </c>
      <c r="B87" s="265">
        <f>YEAR(Data_NFI_t[[#This Row],[Distribution Date]])</f>
        <v>2014</v>
      </c>
      <c r="C87" s="738">
        <v>41730</v>
      </c>
      <c r="D87" s="655" t="s">
        <v>291</v>
      </c>
      <c r="E87" s="654" t="s">
        <v>291</v>
      </c>
      <c r="F87" s="655" t="s">
        <v>7</v>
      </c>
      <c r="G87" s="31" t="s">
        <v>19</v>
      </c>
      <c r="H87" s="31" t="s">
        <v>67</v>
      </c>
      <c r="I87" s="31"/>
      <c r="J87" s="61"/>
      <c r="K87" s="61"/>
      <c r="L87" s="61"/>
      <c r="M87" s="61">
        <v>2573</v>
      </c>
      <c r="N87" s="61"/>
      <c r="O87" s="61"/>
      <c r="P87" s="61"/>
      <c r="Q87" s="61"/>
      <c r="R87" s="708"/>
      <c r="S87" s="61"/>
      <c r="T87" s="150">
        <f>IF(NFI_Expiration=1,IF($A87&lt;VLOOKUP(I$5,NFI,5,0),1,0)*Data_NFI_t[[#This Row],[Hygiene Kit]],0)</f>
        <v>0</v>
      </c>
      <c r="U87" s="150">
        <f>IF(NFI_Expiration=1,IF($A87&lt;VLOOKUP(J$5,NFI,5,0),1,0)*Data_NFI_t[[#This Row],[NFI Core Kit]],0)</f>
        <v>0</v>
      </c>
      <c r="V87" s="131">
        <f>IF(NFI_Expiration=1,IF($A87&lt;VLOOKUP(K$5,NFI,5,0),1,0)*Data_NFI_t[[#This Row],[Sanitary Kit]],0)</f>
        <v>0</v>
      </c>
      <c r="W87" s="131">
        <f>IF(NFI_Expiration=1,IF($A87&lt;VLOOKUP(L$5,NFI,5,0),1,0)*Data_NFI_t[[#This Row],[Mosquito net]],0)</f>
        <v>0</v>
      </c>
      <c r="X87" s="131">
        <f>IF(NFI_Expiration=1,IF($A87&lt;VLOOKUP(M$5,NFI,5,0),1,0)*Data_NFI_t[[#This Row],[Tarpaulin]],0)</f>
        <v>0</v>
      </c>
      <c r="Y87" s="131">
        <f>IF(NFI_Expiration=1,IF($A87&lt;VLOOKUP(N$5,NFI,5,0),1,0)*Data_NFI_t[[#This Row],[Blanket]],0)</f>
        <v>0</v>
      </c>
      <c r="Z87" s="131">
        <f>IF(NFI_Expiration=1,IF($A87&lt;VLOOKUP(O$5,NFI,5,0),1,0)*Data_NFI_t[[#This Row],[Kitchen Set]],0)</f>
        <v>0</v>
      </c>
      <c r="AA87" s="131">
        <f>IF(NFI_Expiration=1,IF($A87&lt;VLOOKUP(P$5,NFI,5,0),1,0)*Data_NFI_t[[#This Row],[Complementary Kit]],0)</f>
        <v>0</v>
      </c>
      <c r="AB87" s="131">
        <f>IF(NFI_Expiration=1,IF($A87&lt;VLOOKUP(Q$5,NFI,5,0),1,0)*Data_NFI_t[[#This Row],[Plastic Bucket]],0)</f>
        <v>0</v>
      </c>
      <c r="AC87" s="131">
        <f>IF(NFI_Expiration=1,IF($A87&lt;VLOOKUP(R$5,NFI,5,0),1,0)*Data_NFI_t[[#This Row],[Jerry Can]],0)</f>
        <v>0</v>
      </c>
      <c r="AD87" s="150">
        <f>IF(NFI_Expiration=1,IF($A87&lt;VLOOKUP(S$5,NFI,5,0),1,0)*Data_NFI_t[[#This Row],[Plastic Mat]],0)*IF(Data_NFI_t[[#This Row],[Distribution Date]]&gt;"01-04-2014",1,2.5)</f>
        <v>0</v>
      </c>
      <c r="AE87" s="150" t="str">
        <f ca="1">IFERROR(OFFSET(Camp_List[P_Code],MATCH(Data_NFI_t[[#This Row],[Camp Name]],Camp_List[Camp Name],0)-1,0,1,1),"")</f>
        <v>MMR012CMP045</v>
      </c>
      <c r="AF87" s="714" t="str">
        <f ca="1">IFERROR(OFFSET(Camp_List[Status],MATCH(Data_NFI_t[[#This Row],[Camp Name]],Camp_List[Camp Name],0)-1,0,1,1),"")</f>
        <v>Open</v>
      </c>
    </row>
    <row r="88" spans="1:32" s="102" customFormat="1" ht="15" customHeight="1" x14ac:dyDescent="0.25">
      <c r="A88" s="265">
        <f t="shared" si="1"/>
        <v>21.333333333333332</v>
      </c>
      <c r="B88" s="265">
        <f>YEAR(Data_NFI_t[[#This Row],[Distribution Date]])</f>
        <v>2014</v>
      </c>
      <c r="C88" s="738">
        <v>41699</v>
      </c>
      <c r="D88" s="655" t="s">
        <v>291</v>
      </c>
      <c r="E88" s="654" t="s">
        <v>291</v>
      </c>
      <c r="F88" s="655" t="s">
        <v>7</v>
      </c>
      <c r="G88" s="31" t="s">
        <v>19</v>
      </c>
      <c r="H88" s="31" t="s">
        <v>650</v>
      </c>
      <c r="I88" s="31"/>
      <c r="J88" s="61"/>
      <c r="K88" s="61"/>
      <c r="L88" s="61"/>
      <c r="M88" s="61">
        <v>1000</v>
      </c>
      <c r="N88" s="61"/>
      <c r="O88" s="61"/>
      <c r="P88" s="61"/>
      <c r="Q88" s="61"/>
      <c r="R88" s="708"/>
      <c r="S88" s="61"/>
      <c r="T88" s="150">
        <f>IF(NFI_Expiration=1,IF($A88&lt;VLOOKUP(I$5,NFI,5,0),1,0)*Data_NFI_t[[#This Row],[Hygiene Kit]],0)</f>
        <v>0</v>
      </c>
      <c r="U88" s="150">
        <f>IF(NFI_Expiration=1,IF($A88&lt;VLOOKUP(J$5,NFI,5,0),1,0)*Data_NFI_t[[#This Row],[NFI Core Kit]],0)</f>
        <v>0</v>
      </c>
      <c r="V88" s="131">
        <f>IF(NFI_Expiration=1,IF($A88&lt;VLOOKUP(K$5,NFI,5,0),1,0)*Data_NFI_t[[#This Row],[Sanitary Kit]],0)</f>
        <v>0</v>
      </c>
      <c r="W88" s="131">
        <f>IF(NFI_Expiration=1,IF($A88&lt;VLOOKUP(L$5,NFI,5,0),1,0)*Data_NFI_t[[#This Row],[Mosquito net]],0)</f>
        <v>0</v>
      </c>
      <c r="X88" s="131">
        <f>IF(NFI_Expiration=1,IF($A88&lt;VLOOKUP(M$5,NFI,5,0),1,0)*Data_NFI_t[[#This Row],[Tarpaulin]],0)</f>
        <v>0</v>
      </c>
      <c r="Y88" s="131">
        <f>IF(NFI_Expiration=1,IF($A88&lt;VLOOKUP(N$5,NFI,5,0),1,0)*Data_NFI_t[[#This Row],[Blanket]],0)</f>
        <v>0</v>
      </c>
      <c r="Z88" s="131">
        <f>IF(NFI_Expiration=1,IF($A88&lt;VLOOKUP(O$5,NFI,5,0),1,0)*Data_NFI_t[[#This Row],[Kitchen Set]],0)</f>
        <v>0</v>
      </c>
      <c r="AA88" s="131">
        <f>IF(NFI_Expiration=1,IF($A88&lt;VLOOKUP(P$5,NFI,5,0),1,0)*Data_NFI_t[[#This Row],[Complementary Kit]],0)</f>
        <v>0</v>
      </c>
      <c r="AB88" s="131">
        <f>IF(NFI_Expiration=1,IF($A88&lt;VLOOKUP(Q$5,NFI,5,0),1,0)*Data_NFI_t[[#This Row],[Plastic Bucket]],0)</f>
        <v>0</v>
      </c>
      <c r="AC88" s="131">
        <f>IF(NFI_Expiration=1,IF($A88&lt;VLOOKUP(R$5,NFI,5,0),1,0)*Data_NFI_t[[#This Row],[Jerry Can]],0)</f>
        <v>0</v>
      </c>
      <c r="AD88" s="150">
        <f>IF(NFI_Expiration=1,IF($A88&lt;VLOOKUP(S$5,NFI,5,0),1,0)*Data_NFI_t[[#This Row],[Plastic Mat]],0)*IF(Data_NFI_t[[#This Row],[Distribution Date]]&gt;"01-04-2014",1,2.5)</f>
        <v>0</v>
      </c>
      <c r="AE88" s="150" t="str">
        <f ca="1">IFERROR(OFFSET(Camp_List[P_Code],MATCH(Data_NFI_t[[#This Row],[Camp Name]],Camp_List[Camp Name],0)-1,0,1,1),"")</f>
        <v>MMR012CMP113</v>
      </c>
      <c r="AF88" s="714" t="str">
        <f ca="1">IFERROR(OFFSET(Camp_List[Status],MATCH(Data_NFI_t[[#This Row],[Camp Name]],Camp_List[Camp Name],0)-1,0,1,1),"")</f>
        <v>Open</v>
      </c>
    </row>
    <row r="89" spans="1:32" s="102" customFormat="1" ht="15" customHeight="1" x14ac:dyDescent="0.25">
      <c r="A89" s="265">
        <f t="shared" si="1"/>
        <v>21.333333333333332</v>
      </c>
      <c r="B89" s="265">
        <f>YEAR(Data_NFI_t[[#This Row],[Distribution Date]])</f>
        <v>2014</v>
      </c>
      <c r="C89" s="738">
        <v>41699</v>
      </c>
      <c r="D89" s="655" t="s">
        <v>291</v>
      </c>
      <c r="E89" s="654" t="s">
        <v>291</v>
      </c>
      <c r="F89" s="655" t="s">
        <v>7</v>
      </c>
      <c r="G89" s="31" t="s">
        <v>19</v>
      </c>
      <c r="H89" s="31" t="s">
        <v>651</v>
      </c>
      <c r="I89" s="31"/>
      <c r="J89" s="61"/>
      <c r="K89" s="61"/>
      <c r="L89" s="61"/>
      <c r="M89" s="61">
        <v>1320</v>
      </c>
      <c r="N89" s="61"/>
      <c r="O89" s="61"/>
      <c r="P89" s="61"/>
      <c r="Q89" s="61"/>
      <c r="R89" s="708"/>
      <c r="S89" s="61"/>
      <c r="T89" s="150">
        <f>IF(NFI_Expiration=1,IF($A89&lt;VLOOKUP(I$5,NFI,5,0),1,0)*Data_NFI_t[[#This Row],[Hygiene Kit]],0)</f>
        <v>0</v>
      </c>
      <c r="U89" s="150">
        <f>IF(NFI_Expiration=1,IF($A89&lt;VLOOKUP(J$5,NFI,5,0),1,0)*Data_NFI_t[[#This Row],[NFI Core Kit]],0)</f>
        <v>0</v>
      </c>
      <c r="V89" s="131">
        <f>IF(NFI_Expiration=1,IF($A89&lt;VLOOKUP(K$5,NFI,5,0),1,0)*Data_NFI_t[[#This Row],[Sanitary Kit]],0)</f>
        <v>0</v>
      </c>
      <c r="W89" s="131">
        <f>IF(NFI_Expiration=1,IF($A89&lt;VLOOKUP(L$5,NFI,5,0),1,0)*Data_NFI_t[[#This Row],[Mosquito net]],0)</f>
        <v>0</v>
      </c>
      <c r="X89" s="131">
        <f>IF(NFI_Expiration=1,IF($A89&lt;VLOOKUP(M$5,NFI,5,0),1,0)*Data_NFI_t[[#This Row],[Tarpaulin]],0)</f>
        <v>0</v>
      </c>
      <c r="Y89" s="131">
        <f>IF(NFI_Expiration=1,IF($A89&lt;VLOOKUP(N$5,NFI,5,0),1,0)*Data_NFI_t[[#This Row],[Blanket]],0)</f>
        <v>0</v>
      </c>
      <c r="Z89" s="131">
        <f>IF(NFI_Expiration=1,IF($A89&lt;VLOOKUP(O$5,NFI,5,0),1,0)*Data_NFI_t[[#This Row],[Kitchen Set]],0)</f>
        <v>0</v>
      </c>
      <c r="AA89" s="131">
        <f>IF(NFI_Expiration=1,IF($A89&lt;VLOOKUP(P$5,NFI,5,0),1,0)*Data_NFI_t[[#This Row],[Complementary Kit]],0)</f>
        <v>0</v>
      </c>
      <c r="AB89" s="131">
        <f>IF(NFI_Expiration=1,IF($A89&lt;VLOOKUP(Q$5,NFI,5,0),1,0)*Data_NFI_t[[#This Row],[Plastic Bucket]],0)</f>
        <v>0</v>
      </c>
      <c r="AC89" s="131">
        <f>IF(NFI_Expiration=1,IF($A89&lt;VLOOKUP(R$5,NFI,5,0),1,0)*Data_NFI_t[[#This Row],[Jerry Can]],0)</f>
        <v>0</v>
      </c>
      <c r="AD89" s="150">
        <f>IF(NFI_Expiration=1,IF($A89&lt;VLOOKUP(S$5,NFI,5,0),1,0)*Data_NFI_t[[#This Row],[Plastic Mat]],0)*IF(Data_NFI_t[[#This Row],[Distribution Date]]&gt;"01-04-2014",1,2.5)</f>
        <v>0</v>
      </c>
      <c r="AE89" s="150" t="str">
        <f ca="1">IFERROR(OFFSET(Camp_List[P_Code],MATCH(Data_NFI_t[[#This Row],[Camp Name]],Camp_List[Camp Name],0)-1,0,1,1),"")</f>
        <v>MMR012CMP114</v>
      </c>
      <c r="AF89" s="714" t="str">
        <f ca="1">IFERROR(OFFSET(Camp_List[Status],MATCH(Data_NFI_t[[#This Row],[Camp Name]],Camp_List[Camp Name],0)-1,0,1,1),"")</f>
        <v>Open</v>
      </c>
    </row>
    <row r="90" spans="1:32" s="102" customFormat="1" ht="15" customHeight="1" x14ac:dyDescent="0.25">
      <c r="A90" s="265">
        <f t="shared" si="1"/>
        <v>21.333333333333332</v>
      </c>
      <c r="B90" s="265">
        <f>YEAR(Data_NFI_t[[#This Row],[Distribution Date]])</f>
        <v>2014</v>
      </c>
      <c r="C90" s="738">
        <v>41699</v>
      </c>
      <c r="D90" s="655" t="s">
        <v>291</v>
      </c>
      <c r="E90" s="654" t="s">
        <v>291</v>
      </c>
      <c r="F90" s="655" t="s">
        <v>7</v>
      </c>
      <c r="G90" s="31" t="s">
        <v>19</v>
      </c>
      <c r="H90" s="31" t="s">
        <v>558</v>
      </c>
      <c r="I90" s="31"/>
      <c r="J90" s="61"/>
      <c r="K90" s="61"/>
      <c r="L90" s="61"/>
      <c r="M90" s="61">
        <v>1400</v>
      </c>
      <c r="N90" s="61"/>
      <c r="O90" s="61"/>
      <c r="P90" s="61"/>
      <c r="Q90" s="61"/>
      <c r="R90" s="708"/>
      <c r="S90" s="61"/>
      <c r="T90" s="150">
        <f>IF(NFI_Expiration=1,IF($A90&lt;VLOOKUP(I$5,NFI,5,0),1,0)*Data_NFI_t[[#This Row],[Hygiene Kit]],0)</f>
        <v>0</v>
      </c>
      <c r="U90" s="150">
        <f>IF(NFI_Expiration=1,IF($A90&lt;VLOOKUP(J$5,NFI,5,0),1,0)*Data_NFI_t[[#This Row],[NFI Core Kit]],0)</f>
        <v>0</v>
      </c>
      <c r="V90" s="131">
        <f>IF(NFI_Expiration=1,IF($A90&lt;VLOOKUP(K$5,NFI,5,0),1,0)*Data_NFI_t[[#This Row],[Sanitary Kit]],0)</f>
        <v>0</v>
      </c>
      <c r="W90" s="131">
        <f>IF(NFI_Expiration=1,IF($A90&lt;VLOOKUP(L$5,NFI,5,0),1,0)*Data_NFI_t[[#This Row],[Mosquito net]],0)</f>
        <v>0</v>
      </c>
      <c r="X90" s="131">
        <f>IF(NFI_Expiration=1,IF($A90&lt;VLOOKUP(M$5,NFI,5,0),1,0)*Data_NFI_t[[#This Row],[Tarpaulin]],0)</f>
        <v>0</v>
      </c>
      <c r="Y90" s="131">
        <f>IF(NFI_Expiration=1,IF($A90&lt;VLOOKUP(N$5,NFI,5,0),1,0)*Data_NFI_t[[#This Row],[Blanket]],0)</f>
        <v>0</v>
      </c>
      <c r="Z90" s="131">
        <f>IF(NFI_Expiration=1,IF($A90&lt;VLOOKUP(O$5,NFI,5,0),1,0)*Data_NFI_t[[#This Row],[Kitchen Set]],0)</f>
        <v>0</v>
      </c>
      <c r="AA90" s="131">
        <f>IF(NFI_Expiration=1,IF($A90&lt;VLOOKUP(P$5,NFI,5,0),1,0)*Data_NFI_t[[#This Row],[Complementary Kit]],0)</f>
        <v>0</v>
      </c>
      <c r="AB90" s="131">
        <f>IF(NFI_Expiration=1,IF($A90&lt;VLOOKUP(Q$5,NFI,5,0),1,0)*Data_NFI_t[[#This Row],[Plastic Bucket]],0)</f>
        <v>0</v>
      </c>
      <c r="AC90" s="131">
        <f>IF(NFI_Expiration=1,IF($A90&lt;VLOOKUP(R$5,NFI,5,0),1,0)*Data_NFI_t[[#This Row],[Jerry Can]],0)</f>
        <v>0</v>
      </c>
      <c r="AD90" s="150">
        <f>IF(NFI_Expiration=1,IF($A90&lt;VLOOKUP(S$5,NFI,5,0),1,0)*Data_NFI_t[[#This Row],[Plastic Mat]],0)*IF(Data_NFI_t[[#This Row],[Distribution Date]]&gt;"01-04-2014",1,2.5)</f>
        <v>0</v>
      </c>
      <c r="AE90" s="150" t="str">
        <f ca="1">IFERROR(OFFSET(Camp_List[P_Code],MATCH(Data_NFI_t[[#This Row],[Camp Name]],Camp_List[Camp Name],0)-1,0,1,1),"")</f>
        <v>MMR012CMP097</v>
      </c>
      <c r="AF90" s="714" t="str">
        <f ca="1">IFERROR(OFFSET(Camp_List[Status],MATCH(Data_NFI_t[[#This Row],[Camp Name]],Camp_List[Camp Name],0)-1,0,1,1),"")</f>
        <v>Open</v>
      </c>
    </row>
    <row r="91" spans="1:32" s="102" customFormat="1" ht="15" customHeight="1" x14ac:dyDescent="0.25">
      <c r="A91" s="265">
        <f t="shared" si="1"/>
        <v>21.333333333333332</v>
      </c>
      <c r="B91" s="265">
        <f>YEAR(Data_NFI_t[[#This Row],[Distribution Date]])</f>
        <v>2014</v>
      </c>
      <c r="C91" s="738">
        <v>41699</v>
      </c>
      <c r="D91" s="655" t="s">
        <v>291</v>
      </c>
      <c r="E91" s="654" t="s">
        <v>291</v>
      </c>
      <c r="F91" s="655" t="s">
        <v>7</v>
      </c>
      <c r="G91" s="31" t="s">
        <v>19</v>
      </c>
      <c r="H91" s="31" t="s">
        <v>655</v>
      </c>
      <c r="I91" s="31"/>
      <c r="J91" s="61"/>
      <c r="K91" s="61"/>
      <c r="L91" s="61"/>
      <c r="M91" s="61">
        <v>2549</v>
      </c>
      <c r="N91" s="61"/>
      <c r="O91" s="61"/>
      <c r="P91" s="61"/>
      <c r="Q91" s="61"/>
      <c r="R91" s="708"/>
      <c r="S91" s="61"/>
      <c r="T91" s="150">
        <f>IF(NFI_Expiration=1,IF($A91&lt;VLOOKUP(I$5,NFI,5,0),1,0)*Data_NFI_t[[#This Row],[Hygiene Kit]],0)</f>
        <v>0</v>
      </c>
      <c r="U91" s="150">
        <f>IF(NFI_Expiration=1,IF($A91&lt;VLOOKUP(J$5,NFI,5,0),1,0)*Data_NFI_t[[#This Row],[NFI Core Kit]],0)</f>
        <v>0</v>
      </c>
      <c r="V91" s="131">
        <f>IF(NFI_Expiration=1,IF($A91&lt;VLOOKUP(K$5,NFI,5,0),1,0)*Data_NFI_t[[#This Row],[Sanitary Kit]],0)</f>
        <v>0</v>
      </c>
      <c r="W91" s="131">
        <f>IF(NFI_Expiration=1,IF($A91&lt;VLOOKUP(L$5,NFI,5,0),1,0)*Data_NFI_t[[#This Row],[Mosquito net]],0)</f>
        <v>0</v>
      </c>
      <c r="X91" s="131">
        <f>IF(NFI_Expiration=1,IF($A91&lt;VLOOKUP(M$5,NFI,5,0),1,0)*Data_NFI_t[[#This Row],[Tarpaulin]],0)</f>
        <v>0</v>
      </c>
      <c r="Y91" s="131">
        <f>IF(NFI_Expiration=1,IF($A91&lt;VLOOKUP(N$5,NFI,5,0),1,0)*Data_NFI_t[[#This Row],[Blanket]],0)</f>
        <v>0</v>
      </c>
      <c r="Z91" s="131">
        <f>IF(NFI_Expiration=1,IF($A91&lt;VLOOKUP(O$5,NFI,5,0),1,0)*Data_NFI_t[[#This Row],[Kitchen Set]],0)</f>
        <v>0</v>
      </c>
      <c r="AA91" s="131">
        <f>IF(NFI_Expiration=1,IF($A91&lt;VLOOKUP(P$5,NFI,5,0),1,0)*Data_NFI_t[[#This Row],[Complementary Kit]],0)</f>
        <v>0</v>
      </c>
      <c r="AB91" s="131">
        <f>IF(NFI_Expiration=1,IF($A91&lt;VLOOKUP(Q$5,NFI,5,0),1,0)*Data_NFI_t[[#This Row],[Plastic Bucket]],0)</f>
        <v>0</v>
      </c>
      <c r="AC91" s="131">
        <f>IF(NFI_Expiration=1,IF($A91&lt;VLOOKUP(R$5,NFI,5,0),1,0)*Data_NFI_t[[#This Row],[Jerry Can]],0)</f>
        <v>0</v>
      </c>
      <c r="AD91" s="150">
        <f>IF(NFI_Expiration=1,IF($A91&lt;VLOOKUP(S$5,NFI,5,0),1,0)*Data_NFI_t[[#This Row],[Plastic Mat]],0)*IF(Data_NFI_t[[#This Row],[Distribution Date]]&gt;"01-04-2014",1,2.5)</f>
        <v>0</v>
      </c>
      <c r="AE91" s="150" t="str">
        <f ca="1">IFERROR(OFFSET(Camp_List[P_Code],MATCH(Data_NFI_t[[#This Row],[Camp Name]],Camp_List[Camp Name],0)-1,0,1,1),"")</f>
        <v>MMR012CMP115</v>
      </c>
      <c r="AF91" s="714" t="str">
        <f ca="1">IFERROR(OFFSET(Camp_List[Status],MATCH(Data_NFI_t[[#This Row],[Camp Name]],Camp_List[Camp Name],0)-1,0,1,1),"")</f>
        <v>Open</v>
      </c>
    </row>
    <row r="92" spans="1:32" s="102" customFormat="1" ht="15" customHeight="1" x14ac:dyDescent="0.25">
      <c r="A92" s="265">
        <f t="shared" si="1"/>
        <v>22.3</v>
      </c>
      <c r="B92" s="265">
        <f>YEAR(Data_NFI_t[[#This Row],[Distribution Date]])</f>
        <v>2014</v>
      </c>
      <c r="C92" s="738">
        <v>41670</v>
      </c>
      <c r="D92" s="655" t="s">
        <v>288</v>
      </c>
      <c r="E92" s="654" t="s">
        <v>288</v>
      </c>
      <c r="F92" s="655" t="s">
        <v>7</v>
      </c>
      <c r="G92" s="31" t="s">
        <v>15</v>
      </c>
      <c r="H92" s="31" t="s">
        <v>48</v>
      </c>
      <c r="I92" s="31"/>
      <c r="J92" s="61"/>
      <c r="K92" s="61"/>
      <c r="L92" s="61">
        <v>2</v>
      </c>
      <c r="M92" s="61"/>
      <c r="N92" s="61">
        <v>2</v>
      </c>
      <c r="O92" s="61">
        <v>1</v>
      </c>
      <c r="P92" s="61">
        <v>4</v>
      </c>
      <c r="Q92" s="61">
        <v>1</v>
      </c>
      <c r="R92" s="708"/>
      <c r="S92" s="61">
        <v>2</v>
      </c>
      <c r="T92" s="150">
        <f>IF(NFI_Expiration=1,IF($A92&lt;VLOOKUP(I$5,NFI,5,0),1,0)*Data_NFI_t[[#This Row],[Hygiene Kit]],0)</f>
        <v>0</v>
      </c>
      <c r="U92" s="150">
        <f>IF(NFI_Expiration=1,IF($A92&lt;VLOOKUP(J$5,NFI,5,0),1,0)*Data_NFI_t[[#This Row],[NFI Core Kit]],0)</f>
        <v>0</v>
      </c>
      <c r="V92" s="131">
        <f>IF(NFI_Expiration=1,IF($A92&lt;VLOOKUP(K$5,NFI,5,0),1,0)*Data_NFI_t[[#This Row],[Sanitary Kit]],0)</f>
        <v>0</v>
      </c>
      <c r="W92" s="131">
        <f>IF(NFI_Expiration=1,IF($A92&lt;VLOOKUP(L$5,NFI,5,0),1,0)*Data_NFI_t[[#This Row],[Mosquito net]],0)</f>
        <v>0</v>
      </c>
      <c r="X92" s="131">
        <f>IF(NFI_Expiration=1,IF($A92&lt;VLOOKUP(M$5,NFI,5,0),1,0)*Data_NFI_t[[#This Row],[Tarpaulin]],0)</f>
        <v>0</v>
      </c>
      <c r="Y92" s="131">
        <f>IF(NFI_Expiration=1,IF($A92&lt;VLOOKUP(N$5,NFI,5,0),1,0)*Data_NFI_t[[#This Row],[Blanket]],0)</f>
        <v>0</v>
      </c>
      <c r="Z92" s="131">
        <f>IF(NFI_Expiration=1,IF($A92&lt;VLOOKUP(O$5,NFI,5,0),1,0)*Data_NFI_t[[#This Row],[Kitchen Set]],0)</f>
        <v>0</v>
      </c>
      <c r="AA92" s="131">
        <f>IF(NFI_Expiration=1,IF($A92&lt;VLOOKUP(P$5,NFI,5,0),1,0)*Data_NFI_t[[#This Row],[Complementary Kit]],0)</f>
        <v>0</v>
      </c>
      <c r="AB92" s="131">
        <f>IF(NFI_Expiration=1,IF($A92&lt;VLOOKUP(Q$5,NFI,5,0),1,0)*Data_NFI_t[[#This Row],[Plastic Bucket]],0)</f>
        <v>0</v>
      </c>
      <c r="AC92" s="131">
        <f>IF(NFI_Expiration=1,IF($A92&lt;VLOOKUP(R$5,NFI,5,0),1,0)*Data_NFI_t[[#This Row],[Jerry Can]],0)</f>
        <v>0</v>
      </c>
      <c r="AD92" s="150">
        <f>IF(NFI_Expiration=1,IF($A92&lt;VLOOKUP(S$5,NFI,5,0),1,0)*Data_NFI_t[[#This Row],[Plastic Mat]],0)*IF(Data_NFI_t[[#This Row],[Distribution Date]]&gt;"01-04-2014",1,2.5)</f>
        <v>0</v>
      </c>
      <c r="AE92" s="150" t="str">
        <f ca="1">IFERROR(OFFSET(Camp_List[P_Code],MATCH(Data_NFI_t[[#This Row],[Camp Name]],Camp_List[Camp Name],0)-1,0,1,1),"")</f>
        <v>MMR012CMP024</v>
      </c>
      <c r="AF92" s="714" t="str">
        <f ca="1">IFERROR(OFFSET(Camp_List[Status],MATCH(Data_NFI_t[[#This Row],[Camp Name]],Camp_List[Camp Name],0)-1,0,1,1),"")</f>
        <v>Open</v>
      </c>
    </row>
    <row r="93" spans="1:32" s="102" customFormat="1" ht="15" customHeight="1" x14ac:dyDescent="0.25">
      <c r="A93" s="265">
        <f t="shared" si="1"/>
        <v>22.8</v>
      </c>
      <c r="B93" s="265">
        <f>YEAR(Data_NFI_t[[#This Row],[Distribution Date]])</f>
        <v>2014</v>
      </c>
      <c r="C93" s="738">
        <v>41655</v>
      </c>
      <c r="D93" s="655" t="s">
        <v>288</v>
      </c>
      <c r="E93" s="654" t="s">
        <v>288</v>
      </c>
      <c r="F93" s="655" t="s">
        <v>7</v>
      </c>
      <c r="G93" s="31" t="s">
        <v>14</v>
      </c>
      <c r="H93" s="31" t="s">
        <v>43</v>
      </c>
      <c r="I93" s="31"/>
      <c r="J93" s="61"/>
      <c r="K93" s="61"/>
      <c r="L93" s="61"/>
      <c r="M93" s="61"/>
      <c r="N93" s="61">
        <v>20</v>
      </c>
      <c r="O93" s="61">
        <v>700</v>
      </c>
      <c r="P93" s="61"/>
      <c r="Q93" s="61"/>
      <c r="R93" s="708"/>
      <c r="S93" s="61">
        <v>120</v>
      </c>
      <c r="T93" s="150">
        <f>IF(NFI_Expiration=1,IF($A93&lt;VLOOKUP(I$5,NFI,5,0),1,0)*Data_NFI_t[[#This Row],[Hygiene Kit]],0)</f>
        <v>0</v>
      </c>
      <c r="U93" s="150">
        <f>IF(NFI_Expiration=1,IF($A93&lt;VLOOKUP(J$5,NFI,5,0),1,0)*Data_NFI_t[[#This Row],[NFI Core Kit]],0)</f>
        <v>0</v>
      </c>
      <c r="V93" s="131">
        <f>IF(NFI_Expiration=1,IF($A93&lt;VLOOKUP(K$5,NFI,5,0),1,0)*Data_NFI_t[[#This Row],[Sanitary Kit]],0)</f>
        <v>0</v>
      </c>
      <c r="W93" s="131">
        <f>IF(NFI_Expiration=1,IF($A93&lt;VLOOKUP(L$5,NFI,5,0),1,0)*Data_NFI_t[[#This Row],[Mosquito net]],0)</f>
        <v>0</v>
      </c>
      <c r="X93" s="131">
        <f>IF(NFI_Expiration=1,IF($A93&lt;VLOOKUP(M$5,NFI,5,0),1,0)*Data_NFI_t[[#This Row],[Tarpaulin]],0)</f>
        <v>0</v>
      </c>
      <c r="Y93" s="131">
        <f>IF(NFI_Expiration=1,IF($A93&lt;VLOOKUP(N$5,NFI,5,0),1,0)*Data_NFI_t[[#This Row],[Blanket]],0)</f>
        <v>0</v>
      </c>
      <c r="Z93" s="131">
        <f>IF(NFI_Expiration=1,IF($A93&lt;VLOOKUP(O$5,NFI,5,0),1,0)*Data_NFI_t[[#This Row],[Kitchen Set]],0)</f>
        <v>0</v>
      </c>
      <c r="AA93" s="131">
        <f>IF(NFI_Expiration=1,IF($A93&lt;VLOOKUP(P$5,NFI,5,0),1,0)*Data_NFI_t[[#This Row],[Complementary Kit]],0)</f>
        <v>0</v>
      </c>
      <c r="AB93" s="131">
        <f>IF(NFI_Expiration=1,IF($A93&lt;VLOOKUP(Q$5,NFI,5,0),1,0)*Data_NFI_t[[#This Row],[Plastic Bucket]],0)</f>
        <v>0</v>
      </c>
      <c r="AC93" s="131">
        <f>IF(NFI_Expiration=1,IF($A93&lt;VLOOKUP(R$5,NFI,5,0),1,0)*Data_NFI_t[[#This Row],[Jerry Can]],0)</f>
        <v>0</v>
      </c>
      <c r="AD93" s="150">
        <f>IF(NFI_Expiration=1,IF($A93&lt;VLOOKUP(S$5,NFI,5,0),1,0)*Data_NFI_t[[#This Row],[Plastic Mat]],0)*IF(Data_NFI_t[[#This Row],[Distribution Date]]&gt;"01-04-2014",1,2.5)</f>
        <v>0</v>
      </c>
      <c r="AE93" s="150" t="str">
        <f ca="1">IFERROR(OFFSET(Camp_List[P_Code],MATCH(Data_NFI_t[[#This Row],[Camp Name]],Camp_List[Camp Name],0)-1,0,1,1),"")</f>
        <v>MMR012CMP019</v>
      </c>
      <c r="AF93" s="714" t="str">
        <f ca="1">IFERROR(OFFSET(Camp_List[Status],MATCH(Data_NFI_t[[#This Row],[Camp Name]],Camp_List[Camp Name],0)-1,0,1,1),"")</f>
        <v>Open</v>
      </c>
    </row>
    <row r="94" spans="1:32" s="102" customFormat="1" ht="15" customHeight="1" x14ac:dyDescent="0.25">
      <c r="A94" s="265">
        <f t="shared" si="1"/>
        <v>22.8</v>
      </c>
      <c r="B94" s="265">
        <f>YEAR(Data_NFI_t[[#This Row],[Distribution Date]])</f>
        <v>2014</v>
      </c>
      <c r="C94" s="738">
        <v>41655</v>
      </c>
      <c r="D94" s="655" t="s">
        <v>288</v>
      </c>
      <c r="E94" s="654" t="s">
        <v>288</v>
      </c>
      <c r="F94" s="655" t="s">
        <v>7</v>
      </c>
      <c r="G94" s="31" t="s">
        <v>14</v>
      </c>
      <c r="H94" s="31" t="s">
        <v>43</v>
      </c>
      <c r="I94" s="31"/>
      <c r="J94" s="61"/>
      <c r="K94" s="61"/>
      <c r="L94" s="61">
        <v>807</v>
      </c>
      <c r="M94" s="61"/>
      <c r="N94" s="61"/>
      <c r="O94" s="61"/>
      <c r="P94" s="61">
        <v>807</v>
      </c>
      <c r="Q94" s="61"/>
      <c r="R94" s="708"/>
      <c r="S94" s="61"/>
      <c r="T94" s="150">
        <f>IF(NFI_Expiration=1,IF($A94&lt;VLOOKUP(I$5,NFI,5,0),1,0)*Data_NFI_t[[#This Row],[Hygiene Kit]],0)</f>
        <v>0</v>
      </c>
      <c r="U94" s="150">
        <f>IF(NFI_Expiration=1,IF($A94&lt;VLOOKUP(J$5,NFI,5,0),1,0)*Data_NFI_t[[#This Row],[NFI Core Kit]],0)</f>
        <v>0</v>
      </c>
      <c r="V94" s="131">
        <f>IF(NFI_Expiration=1,IF($A94&lt;VLOOKUP(K$5,NFI,5,0),1,0)*Data_NFI_t[[#This Row],[Sanitary Kit]],0)</f>
        <v>0</v>
      </c>
      <c r="W94" s="131">
        <f>IF(NFI_Expiration=1,IF($A94&lt;VLOOKUP(L$5,NFI,5,0),1,0)*Data_NFI_t[[#This Row],[Mosquito net]],0)</f>
        <v>0</v>
      </c>
      <c r="X94" s="131">
        <f>IF(NFI_Expiration=1,IF($A94&lt;VLOOKUP(M$5,NFI,5,0),1,0)*Data_NFI_t[[#This Row],[Tarpaulin]],0)</f>
        <v>0</v>
      </c>
      <c r="Y94" s="131">
        <f>IF(NFI_Expiration=1,IF($A94&lt;VLOOKUP(N$5,NFI,5,0),1,0)*Data_NFI_t[[#This Row],[Blanket]],0)</f>
        <v>0</v>
      </c>
      <c r="Z94" s="131">
        <f>IF(NFI_Expiration=1,IF($A94&lt;VLOOKUP(O$5,NFI,5,0),1,0)*Data_NFI_t[[#This Row],[Kitchen Set]],0)</f>
        <v>0</v>
      </c>
      <c r="AA94" s="131">
        <f>IF(NFI_Expiration=1,IF($A94&lt;VLOOKUP(P$5,NFI,5,0),1,0)*Data_NFI_t[[#This Row],[Complementary Kit]],0)</f>
        <v>0</v>
      </c>
      <c r="AB94" s="131">
        <f>IF(NFI_Expiration=1,IF($A94&lt;VLOOKUP(Q$5,NFI,5,0),1,0)*Data_NFI_t[[#This Row],[Plastic Bucket]],0)</f>
        <v>0</v>
      </c>
      <c r="AC94" s="131">
        <f>IF(NFI_Expiration=1,IF($A94&lt;VLOOKUP(R$5,NFI,5,0),1,0)*Data_NFI_t[[#This Row],[Jerry Can]],0)</f>
        <v>0</v>
      </c>
      <c r="AD94" s="150">
        <f>IF(NFI_Expiration=1,IF($A94&lt;VLOOKUP(S$5,NFI,5,0),1,0)*Data_NFI_t[[#This Row],[Plastic Mat]],0)*IF(Data_NFI_t[[#This Row],[Distribution Date]]&gt;"01-04-2014",1,2.5)</f>
        <v>0</v>
      </c>
      <c r="AE94" s="150" t="str">
        <f ca="1">IFERROR(OFFSET(Camp_List[P_Code],MATCH(Data_NFI_t[[#This Row],[Camp Name]],Camp_List[Camp Name],0)-1,0,1,1),"")</f>
        <v>MMR012CMP019</v>
      </c>
      <c r="AF94" s="714" t="str">
        <f ca="1">IFERROR(OFFSET(Camp_List[Status],MATCH(Data_NFI_t[[#This Row],[Camp Name]],Camp_List[Camp Name],0)-1,0,1,1),"")</f>
        <v>Open</v>
      </c>
    </row>
    <row r="95" spans="1:32" s="102" customFormat="1" ht="15" customHeight="1" x14ac:dyDescent="0.25">
      <c r="A95" s="265">
        <f t="shared" si="1"/>
        <v>22.833333333333332</v>
      </c>
      <c r="B95" s="265">
        <f>YEAR(Data_NFI_t[[#This Row],[Distribution Date]])</f>
        <v>2014</v>
      </c>
      <c r="C95" s="738">
        <v>41654</v>
      </c>
      <c r="D95" s="655" t="s">
        <v>288</v>
      </c>
      <c r="E95" s="654" t="s">
        <v>288</v>
      </c>
      <c r="F95" s="655" t="s">
        <v>7</v>
      </c>
      <c r="G95" s="31" t="s">
        <v>14</v>
      </c>
      <c r="H95" s="31" t="s">
        <v>41</v>
      </c>
      <c r="I95" s="31"/>
      <c r="J95" s="61"/>
      <c r="K95" s="61"/>
      <c r="L95" s="61">
        <v>588</v>
      </c>
      <c r="M95" s="61"/>
      <c r="N95" s="61">
        <v>588</v>
      </c>
      <c r="O95" s="61">
        <v>294</v>
      </c>
      <c r="P95" s="61">
        <v>1176</v>
      </c>
      <c r="Q95" s="61">
        <v>294</v>
      </c>
      <c r="R95" s="708"/>
      <c r="S95" s="61">
        <v>588</v>
      </c>
      <c r="T95" s="150">
        <f>IF(NFI_Expiration=1,IF($A95&lt;VLOOKUP(I$5,NFI,5,0),1,0)*Data_NFI_t[[#This Row],[Hygiene Kit]],0)</f>
        <v>0</v>
      </c>
      <c r="U95" s="150">
        <f>IF(NFI_Expiration=1,IF($A95&lt;VLOOKUP(J$5,NFI,5,0),1,0)*Data_NFI_t[[#This Row],[NFI Core Kit]],0)</f>
        <v>0</v>
      </c>
      <c r="V95" s="131">
        <f>IF(NFI_Expiration=1,IF($A95&lt;VLOOKUP(K$5,NFI,5,0),1,0)*Data_NFI_t[[#This Row],[Sanitary Kit]],0)</f>
        <v>0</v>
      </c>
      <c r="W95" s="131">
        <f>IF(NFI_Expiration=1,IF($A95&lt;VLOOKUP(L$5,NFI,5,0),1,0)*Data_NFI_t[[#This Row],[Mosquito net]],0)</f>
        <v>0</v>
      </c>
      <c r="X95" s="131">
        <f>IF(NFI_Expiration=1,IF($A95&lt;VLOOKUP(M$5,NFI,5,0),1,0)*Data_NFI_t[[#This Row],[Tarpaulin]],0)</f>
        <v>0</v>
      </c>
      <c r="Y95" s="131">
        <f>IF(NFI_Expiration=1,IF($A95&lt;VLOOKUP(N$5,NFI,5,0),1,0)*Data_NFI_t[[#This Row],[Blanket]],0)</f>
        <v>0</v>
      </c>
      <c r="Z95" s="131">
        <f>IF(NFI_Expiration=1,IF($A95&lt;VLOOKUP(O$5,NFI,5,0),1,0)*Data_NFI_t[[#This Row],[Kitchen Set]],0)</f>
        <v>0</v>
      </c>
      <c r="AA95" s="131">
        <f>IF(NFI_Expiration=1,IF($A95&lt;VLOOKUP(P$5,NFI,5,0),1,0)*Data_NFI_t[[#This Row],[Complementary Kit]],0)</f>
        <v>0</v>
      </c>
      <c r="AB95" s="131">
        <f>IF(NFI_Expiration=1,IF($A95&lt;VLOOKUP(Q$5,NFI,5,0),1,0)*Data_NFI_t[[#This Row],[Plastic Bucket]],0)</f>
        <v>0</v>
      </c>
      <c r="AC95" s="131">
        <f>IF(NFI_Expiration=1,IF($A95&lt;VLOOKUP(R$5,NFI,5,0),1,0)*Data_NFI_t[[#This Row],[Jerry Can]],0)</f>
        <v>0</v>
      </c>
      <c r="AD95" s="150">
        <f>IF(NFI_Expiration=1,IF($A95&lt;VLOOKUP(S$5,NFI,5,0),1,0)*Data_NFI_t[[#This Row],[Plastic Mat]],0)*IF(Data_NFI_t[[#This Row],[Distribution Date]]&gt;"01-04-2014",1,2.5)</f>
        <v>0</v>
      </c>
      <c r="AE95" s="150" t="str">
        <f ca="1">IFERROR(OFFSET(Camp_List[P_Code],MATCH(Data_NFI_t[[#This Row],[Camp Name]],Camp_List[Camp Name],0)-1,0,1,1),"")</f>
        <v>MMR012CMP017</v>
      </c>
      <c r="AF95" s="714" t="str">
        <f ca="1">IFERROR(OFFSET(Camp_List[Status],MATCH(Data_NFI_t[[#This Row],[Camp Name]],Camp_List[Camp Name],0)-1,0,1,1),"")</f>
        <v>Open</v>
      </c>
    </row>
    <row r="96" spans="1:32" s="102" customFormat="1" ht="15" customHeight="1" x14ac:dyDescent="0.25">
      <c r="A96" s="265">
        <f t="shared" si="1"/>
        <v>22.833333333333332</v>
      </c>
      <c r="B96" s="265">
        <f>YEAR(Data_NFI_t[[#This Row],[Distribution Date]])</f>
        <v>2014</v>
      </c>
      <c r="C96" s="738">
        <v>41654</v>
      </c>
      <c r="D96" s="655" t="s">
        <v>288</v>
      </c>
      <c r="E96" s="654" t="s">
        <v>288</v>
      </c>
      <c r="F96" s="655" t="s">
        <v>7</v>
      </c>
      <c r="G96" s="31" t="s">
        <v>14</v>
      </c>
      <c r="H96" s="31" t="s">
        <v>43</v>
      </c>
      <c r="I96" s="31"/>
      <c r="J96" s="61"/>
      <c r="K96" s="61"/>
      <c r="L96" s="61">
        <v>1420</v>
      </c>
      <c r="M96" s="61"/>
      <c r="N96" s="61">
        <v>1400</v>
      </c>
      <c r="O96" s="61"/>
      <c r="P96" s="61">
        <v>2800</v>
      </c>
      <c r="Q96" s="61">
        <v>700</v>
      </c>
      <c r="R96" s="708"/>
      <c r="S96" s="61">
        <v>1400</v>
      </c>
      <c r="T96" s="150">
        <f>IF(NFI_Expiration=1,IF($A96&lt;VLOOKUP(I$5,NFI,5,0),1,0)*Data_NFI_t[[#This Row],[Hygiene Kit]],0)</f>
        <v>0</v>
      </c>
      <c r="U96" s="150">
        <f>IF(NFI_Expiration=1,IF($A96&lt;VLOOKUP(J$5,NFI,5,0),1,0)*Data_NFI_t[[#This Row],[NFI Core Kit]],0)</f>
        <v>0</v>
      </c>
      <c r="V96" s="131">
        <f>IF(NFI_Expiration=1,IF($A96&lt;VLOOKUP(K$5,NFI,5,0),1,0)*Data_NFI_t[[#This Row],[Sanitary Kit]],0)</f>
        <v>0</v>
      </c>
      <c r="W96" s="131">
        <f>IF(NFI_Expiration=1,IF($A96&lt;VLOOKUP(L$5,NFI,5,0),1,0)*Data_NFI_t[[#This Row],[Mosquito net]],0)</f>
        <v>0</v>
      </c>
      <c r="X96" s="131">
        <f>IF(NFI_Expiration=1,IF($A96&lt;VLOOKUP(M$5,NFI,5,0),1,0)*Data_NFI_t[[#This Row],[Tarpaulin]],0)</f>
        <v>0</v>
      </c>
      <c r="Y96" s="131">
        <f>IF(NFI_Expiration=1,IF($A96&lt;VLOOKUP(N$5,NFI,5,0),1,0)*Data_NFI_t[[#This Row],[Blanket]],0)</f>
        <v>0</v>
      </c>
      <c r="Z96" s="131">
        <f>IF(NFI_Expiration=1,IF($A96&lt;VLOOKUP(O$5,NFI,5,0),1,0)*Data_NFI_t[[#This Row],[Kitchen Set]],0)</f>
        <v>0</v>
      </c>
      <c r="AA96" s="131">
        <f>IF(NFI_Expiration=1,IF($A96&lt;VLOOKUP(P$5,NFI,5,0),1,0)*Data_NFI_t[[#This Row],[Complementary Kit]],0)</f>
        <v>0</v>
      </c>
      <c r="AB96" s="131">
        <f>IF(NFI_Expiration=1,IF($A96&lt;VLOOKUP(Q$5,NFI,5,0),1,0)*Data_NFI_t[[#This Row],[Plastic Bucket]],0)</f>
        <v>0</v>
      </c>
      <c r="AC96" s="131">
        <f>IF(NFI_Expiration=1,IF($A96&lt;VLOOKUP(R$5,NFI,5,0),1,0)*Data_NFI_t[[#This Row],[Jerry Can]],0)</f>
        <v>0</v>
      </c>
      <c r="AD96" s="150">
        <f>IF(NFI_Expiration=1,IF($A96&lt;VLOOKUP(S$5,NFI,5,0),1,0)*Data_NFI_t[[#This Row],[Plastic Mat]],0)*IF(Data_NFI_t[[#This Row],[Distribution Date]]&gt;"01-04-2014",1,2.5)</f>
        <v>0</v>
      </c>
      <c r="AE96" s="150" t="str">
        <f ca="1">IFERROR(OFFSET(Camp_List[P_Code],MATCH(Data_NFI_t[[#This Row],[Camp Name]],Camp_List[Camp Name],0)-1,0,1,1),"")</f>
        <v>MMR012CMP019</v>
      </c>
      <c r="AF96" s="714" t="str">
        <f ca="1">IFERROR(OFFSET(Camp_List[Status],MATCH(Data_NFI_t[[#This Row],[Camp Name]],Camp_List[Camp Name],0)-1,0,1,1),"")</f>
        <v>Open</v>
      </c>
    </row>
    <row r="97" spans="1:32" s="102" customFormat="1" ht="15" customHeight="1" x14ac:dyDescent="0.25">
      <c r="A97" s="265">
        <f t="shared" si="1"/>
        <v>23.133333333333333</v>
      </c>
      <c r="B97" s="265">
        <f>YEAR(Data_NFI_t[[#This Row],[Distribution Date]])</f>
        <v>2014</v>
      </c>
      <c r="C97" s="738">
        <v>41645</v>
      </c>
      <c r="D97" s="655" t="s">
        <v>288</v>
      </c>
      <c r="E97" s="654" t="s">
        <v>288</v>
      </c>
      <c r="F97" s="655" t="s">
        <v>7</v>
      </c>
      <c r="G97" s="31" t="s">
        <v>19</v>
      </c>
      <c r="H97" s="31" t="s">
        <v>654</v>
      </c>
      <c r="I97" s="31"/>
      <c r="J97" s="61"/>
      <c r="K97" s="61"/>
      <c r="L97" s="61">
        <v>10</v>
      </c>
      <c r="M97" s="61">
        <v>5</v>
      </c>
      <c r="N97" s="61">
        <v>15</v>
      </c>
      <c r="O97" s="61">
        <v>5</v>
      </c>
      <c r="P97" s="61"/>
      <c r="Q97" s="61"/>
      <c r="R97" s="708"/>
      <c r="S97" s="61">
        <v>10</v>
      </c>
      <c r="T97" s="150">
        <f>IF(NFI_Expiration=1,IF($A97&lt;VLOOKUP(I$5,NFI,5,0),1,0)*Data_NFI_t[[#This Row],[Hygiene Kit]],0)</f>
        <v>0</v>
      </c>
      <c r="U97" s="150">
        <f>IF(NFI_Expiration=1,IF($A97&lt;VLOOKUP(J$5,NFI,5,0),1,0)*Data_NFI_t[[#This Row],[NFI Core Kit]],0)</f>
        <v>0</v>
      </c>
      <c r="V97" s="131">
        <f>IF(NFI_Expiration=1,IF($A97&lt;VLOOKUP(K$5,NFI,5,0),1,0)*Data_NFI_t[[#This Row],[Sanitary Kit]],0)</f>
        <v>0</v>
      </c>
      <c r="W97" s="131">
        <f>IF(NFI_Expiration=1,IF($A97&lt;VLOOKUP(L$5,NFI,5,0),1,0)*Data_NFI_t[[#This Row],[Mosquito net]],0)</f>
        <v>0</v>
      </c>
      <c r="X97" s="131">
        <f>IF(NFI_Expiration=1,IF($A97&lt;VLOOKUP(M$5,NFI,5,0),1,0)*Data_NFI_t[[#This Row],[Tarpaulin]],0)</f>
        <v>0</v>
      </c>
      <c r="Y97" s="131">
        <f>IF(NFI_Expiration=1,IF($A97&lt;VLOOKUP(N$5,NFI,5,0),1,0)*Data_NFI_t[[#This Row],[Blanket]],0)</f>
        <v>0</v>
      </c>
      <c r="Z97" s="131">
        <f>IF(NFI_Expiration=1,IF($A97&lt;VLOOKUP(O$5,NFI,5,0),1,0)*Data_NFI_t[[#This Row],[Kitchen Set]],0)</f>
        <v>0</v>
      </c>
      <c r="AA97" s="131">
        <f>IF(NFI_Expiration=1,IF($A97&lt;VLOOKUP(P$5,NFI,5,0),1,0)*Data_NFI_t[[#This Row],[Complementary Kit]],0)</f>
        <v>0</v>
      </c>
      <c r="AB97" s="131">
        <f>IF(NFI_Expiration=1,IF($A97&lt;VLOOKUP(Q$5,NFI,5,0),1,0)*Data_NFI_t[[#This Row],[Plastic Bucket]],0)</f>
        <v>0</v>
      </c>
      <c r="AC97" s="131">
        <f>IF(NFI_Expiration=1,IF($A97&lt;VLOOKUP(R$5,NFI,5,0),1,0)*Data_NFI_t[[#This Row],[Jerry Can]],0)</f>
        <v>0</v>
      </c>
      <c r="AD97" s="150">
        <f>IF(NFI_Expiration=1,IF($A97&lt;VLOOKUP(S$5,NFI,5,0),1,0)*Data_NFI_t[[#This Row],[Plastic Mat]],0)*IF(Data_NFI_t[[#This Row],[Distribution Date]]&gt;"01-04-2014",1,2.5)</f>
        <v>0</v>
      </c>
      <c r="AE97" s="150" t="str">
        <f ca="1">IFERROR(OFFSET(Camp_List[P_Code],MATCH(Data_NFI_t[[#This Row],[Camp Name]],Camp_List[Camp Name],0)-1,0,1,1),"")</f>
        <v>MMR012CMP098</v>
      </c>
      <c r="AF97" s="714" t="str">
        <f ca="1">IFERROR(OFFSET(Camp_List[Status],MATCH(Data_NFI_t[[#This Row],[Camp Name]],Camp_List[Camp Name],0)-1,0,1,1),"")</f>
        <v>Open</v>
      </c>
    </row>
    <row r="98" spans="1:32" s="102" customFormat="1" ht="15" customHeight="1" x14ac:dyDescent="0.25">
      <c r="A98" s="265">
        <f t="shared" si="1"/>
        <v>23.266666666666666</v>
      </c>
      <c r="B98" s="265">
        <f>YEAR(Data_NFI_t[[#This Row],[Distribution Date]])</f>
        <v>2014</v>
      </c>
      <c r="C98" s="738">
        <v>41641</v>
      </c>
      <c r="D98" s="655" t="s">
        <v>288</v>
      </c>
      <c r="E98" s="654" t="s">
        <v>288</v>
      </c>
      <c r="F98" s="655" t="s">
        <v>7</v>
      </c>
      <c r="G98" s="31" t="s">
        <v>15</v>
      </c>
      <c r="H98" s="31" t="s">
        <v>48</v>
      </c>
      <c r="I98" s="31"/>
      <c r="J98" s="61"/>
      <c r="K98" s="61">
        <v>1</v>
      </c>
      <c r="L98" s="61">
        <v>2</v>
      </c>
      <c r="M98" s="61"/>
      <c r="N98" s="61">
        <v>2</v>
      </c>
      <c r="O98" s="61">
        <v>1</v>
      </c>
      <c r="P98" s="61">
        <v>1</v>
      </c>
      <c r="Q98" s="61">
        <v>1</v>
      </c>
      <c r="R98" s="708"/>
      <c r="S98" s="61">
        <v>2</v>
      </c>
      <c r="T98" s="150">
        <f>IF(NFI_Expiration=1,IF($A98&lt;VLOOKUP(I$5,NFI,5,0),1,0)*Data_NFI_t[[#This Row],[Hygiene Kit]],0)</f>
        <v>0</v>
      </c>
      <c r="U98" s="150">
        <f>IF(NFI_Expiration=1,IF($A98&lt;VLOOKUP(J$5,NFI,5,0),1,0)*Data_NFI_t[[#This Row],[NFI Core Kit]],0)</f>
        <v>0</v>
      </c>
      <c r="V98" s="131">
        <f>IF(NFI_Expiration=1,IF($A98&lt;VLOOKUP(K$5,NFI,5,0),1,0)*Data_NFI_t[[#This Row],[Sanitary Kit]],0)</f>
        <v>0</v>
      </c>
      <c r="W98" s="131">
        <f>IF(NFI_Expiration=1,IF($A98&lt;VLOOKUP(L$5,NFI,5,0),1,0)*Data_NFI_t[[#This Row],[Mosquito net]],0)</f>
        <v>0</v>
      </c>
      <c r="X98" s="131">
        <f>IF(NFI_Expiration=1,IF($A98&lt;VLOOKUP(M$5,NFI,5,0),1,0)*Data_NFI_t[[#This Row],[Tarpaulin]],0)</f>
        <v>0</v>
      </c>
      <c r="Y98" s="131">
        <f>IF(NFI_Expiration=1,IF($A98&lt;VLOOKUP(N$5,NFI,5,0),1,0)*Data_NFI_t[[#This Row],[Blanket]],0)</f>
        <v>0</v>
      </c>
      <c r="Z98" s="131">
        <f>IF(NFI_Expiration=1,IF($A98&lt;VLOOKUP(O$5,NFI,5,0),1,0)*Data_NFI_t[[#This Row],[Kitchen Set]],0)</f>
        <v>0</v>
      </c>
      <c r="AA98" s="131">
        <f>IF(NFI_Expiration=1,IF($A98&lt;VLOOKUP(P$5,NFI,5,0),1,0)*Data_NFI_t[[#This Row],[Complementary Kit]],0)</f>
        <v>0</v>
      </c>
      <c r="AB98" s="131">
        <f>IF(NFI_Expiration=1,IF($A98&lt;VLOOKUP(Q$5,NFI,5,0),1,0)*Data_NFI_t[[#This Row],[Plastic Bucket]],0)</f>
        <v>0</v>
      </c>
      <c r="AC98" s="131">
        <f>IF(NFI_Expiration=1,IF($A98&lt;VLOOKUP(R$5,NFI,5,0),1,0)*Data_NFI_t[[#This Row],[Jerry Can]],0)</f>
        <v>0</v>
      </c>
      <c r="AD98" s="150">
        <f>IF(NFI_Expiration=1,IF($A98&lt;VLOOKUP(S$5,NFI,5,0),1,0)*Data_NFI_t[[#This Row],[Plastic Mat]],0)*IF(Data_NFI_t[[#This Row],[Distribution Date]]&gt;"01-04-2014",1,2.5)</f>
        <v>0</v>
      </c>
      <c r="AE98" s="150" t="str">
        <f ca="1">IFERROR(OFFSET(Camp_List[P_Code],MATCH(Data_NFI_t[[#This Row],[Camp Name]],Camp_List[Camp Name],0)-1,0,1,1),"")</f>
        <v>MMR012CMP024</v>
      </c>
      <c r="AF98" s="714" t="str">
        <f ca="1">IFERROR(OFFSET(Camp_List[Status],MATCH(Data_NFI_t[[#This Row],[Camp Name]],Camp_List[Camp Name],0)-1,0,1,1),"")</f>
        <v>Open</v>
      </c>
    </row>
    <row r="99" spans="1:32" s="102" customFormat="1" ht="15" customHeight="1" x14ac:dyDescent="0.25">
      <c r="A99" s="265">
        <f t="shared" si="1"/>
        <v>23.266666666666666</v>
      </c>
      <c r="B99" s="265">
        <f>YEAR(Data_NFI_t[[#This Row],[Distribution Date]])</f>
        <v>2014</v>
      </c>
      <c r="C99" s="738">
        <v>41641</v>
      </c>
      <c r="D99" s="655" t="s">
        <v>288</v>
      </c>
      <c r="E99" s="654" t="s">
        <v>288</v>
      </c>
      <c r="F99" s="655" t="s">
        <v>7</v>
      </c>
      <c r="G99" s="31" t="s">
        <v>19</v>
      </c>
      <c r="H99" s="31" t="s">
        <v>654</v>
      </c>
      <c r="I99" s="31"/>
      <c r="J99" s="61">
        <v>30</v>
      </c>
      <c r="K99" s="61"/>
      <c r="L99" s="61">
        <v>50</v>
      </c>
      <c r="M99" s="61">
        <v>25</v>
      </c>
      <c r="N99" s="61">
        <v>75</v>
      </c>
      <c r="O99" s="61">
        <v>25</v>
      </c>
      <c r="P99" s="61"/>
      <c r="Q99" s="61"/>
      <c r="R99" s="708"/>
      <c r="S99" s="61">
        <v>50</v>
      </c>
      <c r="T99" s="150">
        <f>IF(NFI_Expiration=1,IF($A99&lt;VLOOKUP(I$5,NFI,5,0),1,0)*Data_NFI_t[[#This Row],[Hygiene Kit]],0)</f>
        <v>0</v>
      </c>
      <c r="U99" s="150">
        <f>IF(NFI_Expiration=1,IF($A99&lt;VLOOKUP(J$5,NFI,5,0),1,0)*Data_NFI_t[[#This Row],[NFI Core Kit]],0)</f>
        <v>0</v>
      </c>
      <c r="V99" s="131">
        <f>IF(NFI_Expiration=1,IF($A99&lt;VLOOKUP(K$5,NFI,5,0),1,0)*Data_NFI_t[[#This Row],[Sanitary Kit]],0)</f>
        <v>0</v>
      </c>
      <c r="W99" s="131">
        <f>IF(NFI_Expiration=1,IF($A99&lt;VLOOKUP(L$5,NFI,5,0),1,0)*Data_NFI_t[[#This Row],[Mosquito net]],0)</f>
        <v>0</v>
      </c>
      <c r="X99" s="131">
        <f>IF(NFI_Expiration=1,IF($A99&lt;VLOOKUP(M$5,NFI,5,0),1,0)*Data_NFI_t[[#This Row],[Tarpaulin]],0)</f>
        <v>0</v>
      </c>
      <c r="Y99" s="131">
        <f>IF(NFI_Expiration=1,IF($A99&lt;VLOOKUP(N$5,NFI,5,0),1,0)*Data_NFI_t[[#This Row],[Blanket]],0)</f>
        <v>0</v>
      </c>
      <c r="Z99" s="131">
        <f>IF(NFI_Expiration=1,IF($A99&lt;VLOOKUP(O$5,NFI,5,0),1,0)*Data_NFI_t[[#This Row],[Kitchen Set]],0)</f>
        <v>0</v>
      </c>
      <c r="AA99" s="131">
        <f>IF(NFI_Expiration=1,IF($A99&lt;VLOOKUP(P$5,NFI,5,0),1,0)*Data_NFI_t[[#This Row],[Complementary Kit]],0)</f>
        <v>0</v>
      </c>
      <c r="AB99" s="131">
        <f>IF(NFI_Expiration=1,IF($A99&lt;VLOOKUP(Q$5,NFI,5,0),1,0)*Data_NFI_t[[#This Row],[Plastic Bucket]],0)</f>
        <v>0</v>
      </c>
      <c r="AC99" s="131">
        <f>IF(NFI_Expiration=1,IF($A99&lt;VLOOKUP(R$5,NFI,5,0),1,0)*Data_NFI_t[[#This Row],[Jerry Can]],0)</f>
        <v>0</v>
      </c>
      <c r="AD99" s="150">
        <f>IF(NFI_Expiration=1,IF($A99&lt;VLOOKUP(S$5,NFI,5,0),1,0)*Data_NFI_t[[#This Row],[Plastic Mat]],0)*IF(Data_NFI_t[[#This Row],[Distribution Date]]&gt;"01-04-2014",1,2.5)</f>
        <v>0</v>
      </c>
      <c r="AE99" s="150" t="str">
        <f ca="1">IFERROR(OFFSET(Camp_List[P_Code],MATCH(Data_NFI_t[[#This Row],[Camp Name]],Camp_List[Camp Name],0)-1,0,1,1),"")</f>
        <v>MMR012CMP098</v>
      </c>
      <c r="AF99" s="714" t="str">
        <f ca="1">IFERROR(OFFSET(Camp_List[Status],MATCH(Data_NFI_t[[#This Row],[Camp Name]],Camp_List[Camp Name],0)-1,0,1,1),"")</f>
        <v>Open</v>
      </c>
    </row>
    <row r="100" spans="1:32" s="102" customFormat="1" ht="15" customHeight="1" x14ac:dyDescent="0.25">
      <c r="A100" s="265">
        <f t="shared" si="1"/>
        <v>23.333333333333332</v>
      </c>
      <c r="B100" s="265">
        <f>YEAR(Data_NFI_t[[#This Row],[Distribution Date]])</f>
        <v>2013</v>
      </c>
      <c r="C100" s="738">
        <v>41639</v>
      </c>
      <c r="D100" s="655" t="s">
        <v>288</v>
      </c>
      <c r="E100" s="654" t="s">
        <v>288</v>
      </c>
      <c r="F100" s="655" t="s">
        <v>7</v>
      </c>
      <c r="G100" s="31" t="s">
        <v>19</v>
      </c>
      <c r="H100" s="31" t="s">
        <v>654</v>
      </c>
      <c r="I100" s="31"/>
      <c r="J100" s="61"/>
      <c r="K100" s="61"/>
      <c r="L100" s="61">
        <v>800</v>
      </c>
      <c r="M100" s="61"/>
      <c r="N100" s="61"/>
      <c r="O100" s="61"/>
      <c r="P100" s="61"/>
      <c r="Q100" s="61"/>
      <c r="R100" s="708"/>
      <c r="S100" s="61"/>
      <c r="T100" s="150">
        <f>IF(NFI_Expiration=1,IF($A100&lt;VLOOKUP(I$5,NFI,5,0),1,0)*Data_NFI_t[[#This Row],[Hygiene Kit]],0)</f>
        <v>0</v>
      </c>
      <c r="U100" s="150">
        <f>IF(NFI_Expiration=1,IF($A100&lt;VLOOKUP(J$5,NFI,5,0),1,0)*Data_NFI_t[[#This Row],[NFI Core Kit]],0)</f>
        <v>0</v>
      </c>
      <c r="V100" s="131">
        <f>IF(NFI_Expiration=1,IF($A100&lt;VLOOKUP(K$5,NFI,5,0),1,0)*Data_NFI_t[[#This Row],[Sanitary Kit]],0)</f>
        <v>0</v>
      </c>
      <c r="W100" s="131">
        <f>IF(NFI_Expiration=1,IF($A100&lt;VLOOKUP(L$5,NFI,5,0),1,0)*Data_NFI_t[[#This Row],[Mosquito net]],0)</f>
        <v>0</v>
      </c>
      <c r="X100" s="131">
        <f>IF(NFI_Expiration=1,IF($A100&lt;VLOOKUP(M$5,NFI,5,0),1,0)*Data_NFI_t[[#This Row],[Tarpaulin]],0)</f>
        <v>0</v>
      </c>
      <c r="Y100" s="131">
        <f>IF(NFI_Expiration=1,IF($A100&lt;VLOOKUP(N$5,NFI,5,0),1,0)*Data_NFI_t[[#This Row],[Blanket]],0)</f>
        <v>0</v>
      </c>
      <c r="Z100" s="131">
        <f>IF(NFI_Expiration=1,IF($A100&lt;VLOOKUP(O$5,NFI,5,0),1,0)*Data_NFI_t[[#This Row],[Kitchen Set]],0)</f>
        <v>0</v>
      </c>
      <c r="AA100" s="131">
        <f>IF(NFI_Expiration=1,IF($A100&lt;VLOOKUP(P$5,NFI,5,0),1,0)*Data_NFI_t[[#This Row],[Complementary Kit]],0)</f>
        <v>0</v>
      </c>
      <c r="AB100" s="131">
        <f>IF(NFI_Expiration=1,IF($A100&lt;VLOOKUP(Q$5,NFI,5,0),1,0)*Data_NFI_t[[#This Row],[Plastic Bucket]],0)</f>
        <v>0</v>
      </c>
      <c r="AC100" s="131">
        <f>IF(NFI_Expiration=1,IF($A100&lt;VLOOKUP(R$5,NFI,5,0),1,0)*Data_NFI_t[[#This Row],[Jerry Can]],0)</f>
        <v>0</v>
      </c>
      <c r="AD100" s="150">
        <f>IF(NFI_Expiration=1,IF($A100&lt;VLOOKUP(S$5,NFI,5,0),1,0)*Data_NFI_t[[#This Row],[Plastic Mat]],0)*IF(Data_NFI_t[[#This Row],[Distribution Date]]&gt;"01-04-2014",1,2.5)</f>
        <v>0</v>
      </c>
      <c r="AE100" s="150" t="str">
        <f ca="1">IFERROR(OFFSET(Camp_List[P_Code],MATCH(Data_NFI_t[[#This Row],[Camp Name]],Camp_List[Camp Name],0)-1,0,1,1),"")</f>
        <v>MMR012CMP098</v>
      </c>
      <c r="AF100" s="714" t="str">
        <f ca="1">IFERROR(OFFSET(Camp_List[Status],MATCH(Data_NFI_t[[#This Row],[Camp Name]],Camp_List[Camp Name],0)-1,0,1,1),"")</f>
        <v>Open</v>
      </c>
    </row>
    <row r="101" spans="1:32" s="102" customFormat="1" ht="15" customHeight="1" x14ac:dyDescent="0.25">
      <c r="A101" s="265">
        <f t="shared" si="1"/>
        <v>23.333333333333332</v>
      </c>
      <c r="B101" s="265">
        <f>YEAR(Data_NFI_t[[#This Row],[Distribution Date]])</f>
        <v>2013</v>
      </c>
      <c r="C101" s="738">
        <v>41639</v>
      </c>
      <c r="D101" s="655" t="s">
        <v>288</v>
      </c>
      <c r="E101" s="654" t="s">
        <v>288</v>
      </c>
      <c r="F101" s="655" t="s">
        <v>7</v>
      </c>
      <c r="G101" s="31" t="s">
        <v>19</v>
      </c>
      <c r="H101" s="31" t="s">
        <v>654</v>
      </c>
      <c r="I101" s="31"/>
      <c r="J101" s="61"/>
      <c r="K101" s="61"/>
      <c r="L101" s="61"/>
      <c r="M101" s="61"/>
      <c r="N101" s="61">
        <v>800</v>
      </c>
      <c r="O101" s="61">
        <v>400</v>
      </c>
      <c r="P101" s="61"/>
      <c r="Q101" s="61">
        <v>400</v>
      </c>
      <c r="R101" s="708"/>
      <c r="S101" s="61">
        <v>800</v>
      </c>
      <c r="T101" s="150">
        <f>IF(NFI_Expiration=1,IF($A101&lt;VLOOKUP(I$5,NFI,5,0),1,0)*Data_NFI_t[[#This Row],[Hygiene Kit]],0)</f>
        <v>0</v>
      </c>
      <c r="U101" s="150">
        <f>IF(NFI_Expiration=1,IF($A101&lt;VLOOKUP(J$5,NFI,5,0),1,0)*Data_NFI_t[[#This Row],[NFI Core Kit]],0)</f>
        <v>0</v>
      </c>
      <c r="V101" s="131">
        <f>IF(NFI_Expiration=1,IF($A101&lt;VLOOKUP(K$5,NFI,5,0),1,0)*Data_NFI_t[[#This Row],[Sanitary Kit]],0)</f>
        <v>0</v>
      </c>
      <c r="W101" s="131">
        <f>IF(NFI_Expiration=1,IF($A101&lt;VLOOKUP(L$5,NFI,5,0),1,0)*Data_NFI_t[[#This Row],[Mosquito net]],0)</f>
        <v>0</v>
      </c>
      <c r="X101" s="131">
        <f>IF(NFI_Expiration=1,IF($A101&lt;VLOOKUP(M$5,NFI,5,0),1,0)*Data_NFI_t[[#This Row],[Tarpaulin]],0)</f>
        <v>0</v>
      </c>
      <c r="Y101" s="131">
        <f>IF(NFI_Expiration=1,IF($A101&lt;VLOOKUP(N$5,NFI,5,0),1,0)*Data_NFI_t[[#This Row],[Blanket]],0)</f>
        <v>0</v>
      </c>
      <c r="Z101" s="131">
        <f>IF(NFI_Expiration=1,IF($A101&lt;VLOOKUP(O$5,NFI,5,0),1,0)*Data_NFI_t[[#This Row],[Kitchen Set]],0)</f>
        <v>0</v>
      </c>
      <c r="AA101" s="131">
        <f>IF(NFI_Expiration=1,IF($A101&lt;VLOOKUP(P$5,NFI,5,0),1,0)*Data_NFI_t[[#This Row],[Complementary Kit]],0)</f>
        <v>0</v>
      </c>
      <c r="AB101" s="131">
        <f>IF(NFI_Expiration=1,IF($A101&lt;VLOOKUP(Q$5,NFI,5,0),1,0)*Data_NFI_t[[#This Row],[Plastic Bucket]],0)</f>
        <v>0</v>
      </c>
      <c r="AC101" s="131">
        <f>IF(NFI_Expiration=1,IF($A101&lt;VLOOKUP(R$5,NFI,5,0),1,0)*Data_NFI_t[[#This Row],[Jerry Can]],0)</f>
        <v>0</v>
      </c>
      <c r="AD101" s="150">
        <f>IF(NFI_Expiration=1,IF($A101&lt;VLOOKUP(S$5,NFI,5,0),1,0)*Data_NFI_t[[#This Row],[Plastic Mat]],0)*IF(Data_NFI_t[[#This Row],[Distribution Date]]&gt;"01-04-2014",1,2.5)</f>
        <v>0</v>
      </c>
      <c r="AE101" s="150" t="str">
        <f ca="1">IFERROR(OFFSET(Camp_List[P_Code],MATCH(Data_NFI_t[[#This Row],[Camp Name]],Camp_List[Camp Name],0)-1,0,1,1),"")</f>
        <v>MMR012CMP098</v>
      </c>
      <c r="AF101" s="714" t="str">
        <f ca="1">IFERROR(OFFSET(Camp_List[Status],MATCH(Data_NFI_t[[#This Row],[Camp Name]],Camp_List[Camp Name],0)-1,0,1,1),"")</f>
        <v>Open</v>
      </c>
    </row>
    <row r="102" spans="1:32" s="102" customFormat="1" ht="15" customHeight="1" x14ac:dyDescent="0.25">
      <c r="A102" s="265">
        <f t="shared" si="1"/>
        <v>23.333333333333332</v>
      </c>
      <c r="B102" s="265">
        <f>YEAR(Data_NFI_t[[#This Row],[Distribution Date]])</f>
        <v>2013</v>
      </c>
      <c r="C102" s="738">
        <v>41639</v>
      </c>
      <c r="D102" s="655" t="s">
        <v>288</v>
      </c>
      <c r="E102" s="654" t="s">
        <v>288</v>
      </c>
      <c r="F102" s="655" t="s">
        <v>7</v>
      </c>
      <c r="G102" s="31" t="s">
        <v>19</v>
      </c>
      <c r="H102" s="31" t="s">
        <v>654</v>
      </c>
      <c r="I102" s="31"/>
      <c r="J102" s="61"/>
      <c r="K102" s="61"/>
      <c r="L102" s="61"/>
      <c r="M102" s="61">
        <v>309</v>
      </c>
      <c r="N102" s="61"/>
      <c r="O102" s="61"/>
      <c r="P102" s="61"/>
      <c r="Q102" s="61"/>
      <c r="R102" s="708"/>
      <c r="S102" s="61"/>
      <c r="T102" s="150">
        <f>IF(NFI_Expiration=1,IF($A102&lt;VLOOKUP(I$5,NFI,5,0),1,0)*Data_NFI_t[[#This Row],[Hygiene Kit]],0)</f>
        <v>0</v>
      </c>
      <c r="U102" s="150">
        <f>IF(NFI_Expiration=1,IF($A102&lt;VLOOKUP(J$5,NFI,5,0),1,0)*Data_NFI_t[[#This Row],[NFI Core Kit]],0)</f>
        <v>0</v>
      </c>
      <c r="V102" s="131">
        <f>IF(NFI_Expiration=1,IF($A102&lt;VLOOKUP(K$5,NFI,5,0),1,0)*Data_NFI_t[[#This Row],[Sanitary Kit]],0)</f>
        <v>0</v>
      </c>
      <c r="W102" s="131">
        <f>IF(NFI_Expiration=1,IF($A102&lt;VLOOKUP(L$5,NFI,5,0),1,0)*Data_NFI_t[[#This Row],[Mosquito net]],0)</f>
        <v>0</v>
      </c>
      <c r="X102" s="131">
        <f>IF(NFI_Expiration=1,IF($A102&lt;VLOOKUP(M$5,NFI,5,0),1,0)*Data_NFI_t[[#This Row],[Tarpaulin]],0)</f>
        <v>0</v>
      </c>
      <c r="Y102" s="131">
        <f>IF(NFI_Expiration=1,IF($A102&lt;VLOOKUP(N$5,NFI,5,0),1,0)*Data_NFI_t[[#This Row],[Blanket]],0)</f>
        <v>0</v>
      </c>
      <c r="Z102" s="131">
        <f>IF(NFI_Expiration=1,IF($A102&lt;VLOOKUP(O$5,NFI,5,0),1,0)*Data_NFI_t[[#This Row],[Kitchen Set]],0)</f>
        <v>0</v>
      </c>
      <c r="AA102" s="131">
        <f>IF(NFI_Expiration=1,IF($A102&lt;VLOOKUP(P$5,NFI,5,0),1,0)*Data_NFI_t[[#This Row],[Complementary Kit]],0)</f>
        <v>0</v>
      </c>
      <c r="AB102" s="131">
        <f>IF(NFI_Expiration=1,IF($A102&lt;VLOOKUP(Q$5,NFI,5,0),1,0)*Data_NFI_t[[#This Row],[Plastic Bucket]],0)</f>
        <v>0</v>
      </c>
      <c r="AC102" s="131">
        <f>IF(NFI_Expiration=1,IF($A102&lt;VLOOKUP(R$5,NFI,5,0),1,0)*Data_NFI_t[[#This Row],[Jerry Can]],0)</f>
        <v>0</v>
      </c>
      <c r="AD102" s="150">
        <f>IF(NFI_Expiration=1,IF($A102&lt;VLOOKUP(S$5,NFI,5,0),1,0)*Data_NFI_t[[#This Row],[Plastic Mat]],0)*IF(Data_NFI_t[[#This Row],[Distribution Date]]&gt;"01-04-2014",1,2.5)</f>
        <v>0</v>
      </c>
      <c r="AE102" s="150" t="str">
        <f ca="1">IFERROR(OFFSET(Camp_List[P_Code],MATCH(Data_NFI_t[[#This Row],[Camp Name]],Camp_List[Camp Name],0)-1,0,1,1),"")</f>
        <v>MMR012CMP098</v>
      </c>
      <c r="AF102" s="714" t="str">
        <f ca="1">IFERROR(OFFSET(Camp_List[Status],MATCH(Data_NFI_t[[#This Row],[Camp Name]],Camp_List[Camp Name],0)-1,0,1,1),"")</f>
        <v>Open</v>
      </c>
    </row>
    <row r="103" spans="1:32" s="102" customFormat="1" ht="15" customHeight="1" x14ac:dyDescent="0.25">
      <c r="A103" s="265">
        <f t="shared" si="1"/>
        <v>23.933333333333334</v>
      </c>
      <c r="B103" s="265">
        <f>YEAR(Data_NFI_t[[#This Row],[Distribution Date]])</f>
        <v>2013</v>
      </c>
      <c r="C103" s="738">
        <v>41621</v>
      </c>
      <c r="D103" s="655" t="s">
        <v>288</v>
      </c>
      <c r="E103" s="654" t="s">
        <v>288</v>
      </c>
      <c r="F103" s="655" t="s">
        <v>7</v>
      </c>
      <c r="G103" s="31" t="s">
        <v>14</v>
      </c>
      <c r="H103" s="31" t="s">
        <v>41</v>
      </c>
      <c r="I103" s="31"/>
      <c r="J103" s="61"/>
      <c r="K103" s="61"/>
      <c r="L103" s="61">
        <v>1966</v>
      </c>
      <c r="M103" s="61"/>
      <c r="N103" s="61">
        <v>1966</v>
      </c>
      <c r="O103" s="61">
        <v>983</v>
      </c>
      <c r="P103" s="61">
        <v>983</v>
      </c>
      <c r="Q103" s="61">
        <v>983</v>
      </c>
      <c r="R103" s="708"/>
      <c r="S103" s="61">
        <v>1966</v>
      </c>
      <c r="T103" s="150">
        <f>IF(NFI_Expiration=1,IF($A103&lt;VLOOKUP(I$5,NFI,5,0),1,0)*Data_NFI_t[[#This Row],[Hygiene Kit]],0)</f>
        <v>0</v>
      </c>
      <c r="U103" s="150">
        <f>IF(NFI_Expiration=1,IF($A103&lt;VLOOKUP(J$5,NFI,5,0),1,0)*Data_NFI_t[[#This Row],[NFI Core Kit]],0)</f>
        <v>0</v>
      </c>
      <c r="V103" s="131">
        <f>IF(NFI_Expiration=1,IF($A103&lt;VLOOKUP(K$5,NFI,5,0),1,0)*Data_NFI_t[[#This Row],[Sanitary Kit]],0)</f>
        <v>0</v>
      </c>
      <c r="W103" s="131">
        <f>IF(NFI_Expiration=1,IF($A103&lt;VLOOKUP(L$5,NFI,5,0),1,0)*Data_NFI_t[[#This Row],[Mosquito net]],0)</f>
        <v>0</v>
      </c>
      <c r="X103" s="131">
        <f>IF(NFI_Expiration=1,IF($A103&lt;VLOOKUP(M$5,NFI,5,0),1,0)*Data_NFI_t[[#This Row],[Tarpaulin]],0)</f>
        <v>0</v>
      </c>
      <c r="Y103" s="131">
        <f>IF(NFI_Expiration=1,IF($A103&lt;VLOOKUP(N$5,NFI,5,0),1,0)*Data_NFI_t[[#This Row],[Blanket]],0)</f>
        <v>0</v>
      </c>
      <c r="Z103" s="131">
        <f>IF(NFI_Expiration=1,IF($A103&lt;VLOOKUP(O$5,NFI,5,0),1,0)*Data_NFI_t[[#This Row],[Kitchen Set]],0)</f>
        <v>0</v>
      </c>
      <c r="AA103" s="131">
        <f>IF(NFI_Expiration=1,IF($A103&lt;VLOOKUP(P$5,NFI,5,0),1,0)*Data_NFI_t[[#This Row],[Complementary Kit]],0)</f>
        <v>0</v>
      </c>
      <c r="AB103" s="131">
        <f>IF(NFI_Expiration=1,IF($A103&lt;VLOOKUP(Q$5,NFI,5,0),1,0)*Data_NFI_t[[#This Row],[Plastic Bucket]],0)</f>
        <v>0</v>
      </c>
      <c r="AC103" s="131">
        <f>IF(NFI_Expiration=1,IF($A103&lt;VLOOKUP(R$5,NFI,5,0),1,0)*Data_NFI_t[[#This Row],[Jerry Can]],0)</f>
        <v>0</v>
      </c>
      <c r="AD103" s="150">
        <f>IF(NFI_Expiration=1,IF($A103&lt;VLOOKUP(S$5,NFI,5,0),1,0)*Data_NFI_t[[#This Row],[Plastic Mat]],0)*IF(Data_NFI_t[[#This Row],[Distribution Date]]&gt;"01-04-2014",1,2.5)</f>
        <v>0</v>
      </c>
      <c r="AE103" s="150" t="str">
        <f ca="1">IFERROR(OFFSET(Camp_List[P_Code],MATCH(Data_NFI_t[[#This Row],[Camp Name]],Camp_List[Camp Name],0)-1,0,1,1),"")</f>
        <v>MMR012CMP017</v>
      </c>
      <c r="AF103" s="714" t="str">
        <f ca="1">IFERROR(OFFSET(Camp_List[Status],MATCH(Data_NFI_t[[#This Row],[Camp Name]],Camp_List[Camp Name],0)-1,0,1,1),"")</f>
        <v>Open</v>
      </c>
    </row>
    <row r="104" spans="1:32" s="102" customFormat="1" ht="15" customHeight="1" x14ac:dyDescent="0.25">
      <c r="A104" s="265">
        <f t="shared" si="1"/>
        <v>23.933333333333334</v>
      </c>
      <c r="B104" s="265">
        <f>YEAR(Data_NFI_t[[#This Row],[Distribution Date]])</f>
        <v>2013</v>
      </c>
      <c r="C104" s="738">
        <v>41621</v>
      </c>
      <c r="D104" s="655" t="s">
        <v>288</v>
      </c>
      <c r="E104" s="654" t="s">
        <v>288</v>
      </c>
      <c r="F104" s="655" t="s">
        <v>7</v>
      </c>
      <c r="G104" s="31" t="s">
        <v>14</v>
      </c>
      <c r="H104" s="31" t="s">
        <v>43</v>
      </c>
      <c r="I104" s="31"/>
      <c r="J104" s="61"/>
      <c r="K104" s="61"/>
      <c r="L104" s="61">
        <v>807</v>
      </c>
      <c r="M104" s="61">
        <v>203</v>
      </c>
      <c r="N104" s="61"/>
      <c r="O104" s="61"/>
      <c r="P104" s="61">
        <v>807</v>
      </c>
      <c r="Q104" s="61"/>
      <c r="R104" s="708"/>
      <c r="S104" s="61"/>
      <c r="T104" s="150">
        <f>IF(NFI_Expiration=1,IF($A104&lt;VLOOKUP(I$5,NFI,5,0),1,0)*Data_NFI_t[[#This Row],[Hygiene Kit]],0)</f>
        <v>0</v>
      </c>
      <c r="U104" s="150">
        <f>IF(NFI_Expiration=1,IF($A104&lt;VLOOKUP(J$5,NFI,5,0),1,0)*Data_NFI_t[[#This Row],[NFI Core Kit]],0)</f>
        <v>0</v>
      </c>
      <c r="V104" s="131">
        <f>IF(NFI_Expiration=1,IF($A104&lt;VLOOKUP(K$5,NFI,5,0),1,0)*Data_NFI_t[[#This Row],[Sanitary Kit]],0)</f>
        <v>0</v>
      </c>
      <c r="W104" s="131">
        <f>IF(NFI_Expiration=1,IF($A104&lt;VLOOKUP(L$5,NFI,5,0),1,0)*Data_NFI_t[[#This Row],[Mosquito net]],0)</f>
        <v>0</v>
      </c>
      <c r="X104" s="131">
        <f>IF(NFI_Expiration=1,IF($A104&lt;VLOOKUP(M$5,NFI,5,0),1,0)*Data_NFI_t[[#This Row],[Tarpaulin]],0)</f>
        <v>0</v>
      </c>
      <c r="Y104" s="131">
        <f>IF(NFI_Expiration=1,IF($A104&lt;VLOOKUP(N$5,NFI,5,0),1,0)*Data_NFI_t[[#This Row],[Blanket]],0)</f>
        <v>0</v>
      </c>
      <c r="Z104" s="131">
        <f>IF(NFI_Expiration=1,IF($A104&lt;VLOOKUP(O$5,NFI,5,0),1,0)*Data_NFI_t[[#This Row],[Kitchen Set]],0)</f>
        <v>0</v>
      </c>
      <c r="AA104" s="131">
        <f>IF(NFI_Expiration=1,IF($A104&lt;VLOOKUP(P$5,NFI,5,0),1,0)*Data_NFI_t[[#This Row],[Complementary Kit]],0)</f>
        <v>0</v>
      </c>
      <c r="AB104" s="131">
        <f>IF(NFI_Expiration=1,IF($A104&lt;VLOOKUP(Q$5,NFI,5,0),1,0)*Data_NFI_t[[#This Row],[Plastic Bucket]],0)</f>
        <v>0</v>
      </c>
      <c r="AC104" s="131">
        <f>IF(NFI_Expiration=1,IF($A104&lt;VLOOKUP(R$5,NFI,5,0),1,0)*Data_NFI_t[[#This Row],[Jerry Can]],0)</f>
        <v>0</v>
      </c>
      <c r="AD104" s="150">
        <f>IF(NFI_Expiration=1,IF($A104&lt;VLOOKUP(S$5,NFI,5,0),1,0)*Data_NFI_t[[#This Row],[Plastic Mat]],0)*IF(Data_NFI_t[[#This Row],[Distribution Date]]&gt;"01-04-2014",1,2.5)</f>
        <v>0</v>
      </c>
      <c r="AE104" s="150" t="str">
        <f ca="1">IFERROR(OFFSET(Camp_List[P_Code],MATCH(Data_NFI_t[[#This Row],[Camp Name]],Camp_List[Camp Name],0)-1,0,1,1),"")</f>
        <v>MMR012CMP019</v>
      </c>
      <c r="AF104" s="714" t="str">
        <f ca="1">IFERROR(OFFSET(Camp_List[Status],MATCH(Data_NFI_t[[#This Row],[Camp Name]],Camp_List[Camp Name],0)-1,0,1,1),"")</f>
        <v>Open</v>
      </c>
    </row>
    <row r="105" spans="1:32" s="102" customFormat="1" ht="15" customHeight="1" x14ac:dyDescent="0.25">
      <c r="A105" s="265">
        <f t="shared" si="1"/>
        <v>23.966666666666665</v>
      </c>
      <c r="B105" s="265">
        <f>YEAR(Data_NFI_t[[#This Row],[Distribution Date]])</f>
        <v>2013</v>
      </c>
      <c r="C105" s="738">
        <v>41620</v>
      </c>
      <c r="D105" s="655" t="s">
        <v>733</v>
      </c>
      <c r="E105" s="654" t="s">
        <v>733</v>
      </c>
      <c r="F105" s="655" t="s">
        <v>7</v>
      </c>
      <c r="G105" s="31" t="s">
        <v>915</v>
      </c>
      <c r="H105" s="31" t="s">
        <v>38</v>
      </c>
      <c r="I105" s="31">
        <v>743</v>
      </c>
      <c r="J105" s="61"/>
      <c r="K105" s="61"/>
      <c r="L105" s="61">
        <v>743</v>
      </c>
      <c r="M105" s="61"/>
      <c r="N105" s="61">
        <v>743</v>
      </c>
      <c r="O105" s="61"/>
      <c r="P105" s="61"/>
      <c r="Q105" s="61">
        <v>743</v>
      </c>
      <c r="R105" s="708"/>
      <c r="S105" s="61"/>
      <c r="T105" s="150">
        <f>IF(NFI_Expiration=1,IF($A105&lt;VLOOKUP(I$5,NFI,5,0),1,0)*Data_NFI_t[[#This Row],[Hygiene Kit]],0)</f>
        <v>0</v>
      </c>
      <c r="U105" s="150">
        <f>IF(NFI_Expiration=1,IF($A105&lt;VLOOKUP(J$5,NFI,5,0),1,0)*Data_NFI_t[[#This Row],[NFI Core Kit]],0)</f>
        <v>0</v>
      </c>
      <c r="V105" s="131">
        <f>IF(NFI_Expiration=1,IF($A105&lt;VLOOKUP(K$5,NFI,5,0),1,0)*Data_NFI_t[[#This Row],[Sanitary Kit]],0)</f>
        <v>0</v>
      </c>
      <c r="W105" s="131">
        <f>IF(NFI_Expiration=1,IF($A105&lt;VLOOKUP(L$5,NFI,5,0),1,0)*Data_NFI_t[[#This Row],[Mosquito net]],0)</f>
        <v>0</v>
      </c>
      <c r="X105" s="131">
        <f>IF(NFI_Expiration=1,IF($A105&lt;VLOOKUP(M$5,NFI,5,0),1,0)*Data_NFI_t[[#This Row],[Tarpaulin]],0)</f>
        <v>0</v>
      </c>
      <c r="Y105" s="131">
        <f>IF(NFI_Expiration=1,IF($A105&lt;VLOOKUP(N$5,NFI,5,0),1,0)*Data_NFI_t[[#This Row],[Blanket]],0)</f>
        <v>0</v>
      </c>
      <c r="Z105" s="131">
        <f>IF(NFI_Expiration=1,IF($A105&lt;VLOOKUP(O$5,NFI,5,0),1,0)*Data_NFI_t[[#This Row],[Kitchen Set]],0)</f>
        <v>0</v>
      </c>
      <c r="AA105" s="131">
        <f>IF(NFI_Expiration=1,IF($A105&lt;VLOOKUP(P$5,NFI,5,0),1,0)*Data_NFI_t[[#This Row],[Complementary Kit]],0)</f>
        <v>0</v>
      </c>
      <c r="AB105" s="131">
        <f>IF(NFI_Expiration=1,IF($A105&lt;VLOOKUP(Q$5,NFI,5,0),1,0)*Data_NFI_t[[#This Row],[Plastic Bucket]],0)</f>
        <v>0</v>
      </c>
      <c r="AC105" s="131">
        <f>IF(NFI_Expiration=1,IF($A105&lt;VLOOKUP(R$5,NFI,5,0),1,0)*Data_NFI_t[[#This Row],[Jerry Can]],0)</f>
        <v>0</v>
      </c>
      <c r="AD105" s="150">
        <f>IF(NFI_Expiration=1,IF($A105&lt;VLOOKUP(S$5,NFI,5,0),1,0)*Data_NFI_t[[#This Row],[Plastic Mat]],0)*IF(Data_NFI_t[[#This Row],[Distribution Date]]&gt;"01-04-2014",1,2.5)</f>
        <v>0</v>
      </c>
      <c r="AE105" s="150" t="str">
        <f ca="1">IFERROR(OFFSET(Camp_List[P_Code],MATCH(Data_NFI_t[[#This Row],[Camp Name]],Camp_List[Camp Name],0)-1,0,1,1),"")</f>
        <v>MMR012CMP014</v>
      </c>
      <c r="AF105" s="714" t="str">
        <f ca="1">IFERROR(OFFSET(Camp_List[Status],MATCH(Data_NFI_t[[#This Row],[Camp Name]],Camp_List[Camp Name],0)-1,0,1,1),"")</f>
        <v>Open</v>
      </c>
    </row>
    <row r="106" spans="1:32" s="102" customFormat="1" ht="15" customHeight="1" x14ac:dyDescent="0.25">
      <c r="A106" s="265">
        <f t="shared" si="1"/>
        <v>24.2</v>
      </c>
      <c r="B106" s="265">
        <f>YEAR(Data_NFI_t[[#This Row],[Distribution Date]])</f>
        <v>2013</v>
      </c>
      <c r="C106" s="738">
        <v>41613</v>
      </c>
      <c r="D106" s="655" t="s">
        <v>288</v>
      </c>
      <c r="E106" s="654" t="s">
        <v>288</v>
      </c>
      <c r="F106" s="655" t="s">
        <v>7</v>
      </c>
      <c r="G106" s="31" t="s">
        <v>19</v>
      </c>
      <c r="H106" s="31" t="s">
        <v>655</v>
      </c>
      <c r="I106" s="31"/>
      <c r="J106" s="61"/>
      <c r="K106" s="61"/>
      <c r="L106" s="61">
        <v>2400</v>
      </c>
      <c r="M106" s="61"/>
      <c r="N106" s="61">
        <v>2400</v>
      </c>
      <c r="O106" s="61">
        <v>1200</v>
      </c>
      <c r="P106" s="61"/>
      <c r="Q106" s="61">
        <v>1200</v>
      </c>
      <c r="R106" s="708"/>
      <c r="S106" s="61">
        <v>6000</v>
      </c>
      <c r="T106" s="150">
        <f>IF(NFI_Expiration=1,IF($A106&lt;VLOOKUP(I$5,NFI,5,0),1,0)*Data_NFI_t[[#This Row],[Hygiene Kit]],0)</f>
        <v>0</v>
      </c>
      <c r="U106" s="150">
        <f>IF(NFI_Expiration=1,IF($A106&lt;VLOOKUP(J$5,NFI,5,0),1,0)*Data_NFI_t[[#This Row],[NFI Core Kit]],0)</f>
        <v>0</v>
      </c>
      <c r="V106" s="131">
        <f>IF(NFI_Expiration=1,IF($A106&lt;VLOOKUP(K$5,NFI,5,0),1,0)*Data_NFI_t[[#This Row],[Sanitary Kit]],0)</f>
        <v>0</v>
      </c>
      <c r="W106" s="131">
        <f>IF(NFI_Expiration=1,IF($A106&lt;VLOOKUP(L$5,NFI,5,0),1,0)*Data_NFI_t[[#This Row],[Mosquito net]],0)</f>
        <v>0</v>
      </c>
      <c r="X106" s="131">
        <f>IF(NFI_Expiration=1,IF($A106&lt;VLOOKUP(M$5,NFI,5,0),1,0)*Data_NFI_t[[#This Row],[Tarpaulin]],0)</f>
        <v>0</v>
      </c>
      <c r="Y106" s="131">
        <f>IF(NFI_Expiration=1,IF($A106&lt;VLOOKUP(N$5,NFI,5,0),1,0)*Data_NFI_t[[#This Row],[Blanket]],0)</f>
        <v>0</v>
      </c>
      <c r="Z106" s="131">
        <f>IF(NFI_Expiration=1,IF($A106&lt;VLOOKUP(O$5,NFI,5,0),1,0)*Data_NFI_t[[#This Row],[Kitchen Set]],0)</f>
        <v>0</v>
      </c>
      <c r="AA106" s="131">
        <f>IF(NFI_Expiration=1,IF($A106&lt;VLOOKUP(P$5,NFI,5,0),1,0)*Data_NFI_t[[#This Row],[Complementary Kit]],0)</f>
        <v>0</v>
      </c>
      <c r="AB106" s="131">
        <f>IF(NFI_Expiration=1,IF($A106&lt;VLOOKUP(Q$5,NFI,5,0),1,0)*Data_NFI_t[[#This Row],[Plastic Bucket]],0)</f>
        <v>0</v>
      </c>
      <c r="AC106" s="131">
        <f>IF(NFI_Expiration=1,IF($A106&lt;VLOOKUP(R$5,NFI,5,0),1,0)*Data_NFI_t[[#This Row],[Jerry Can]],0)</f>
        <v>0</v>
      </c>
      <c r="AD106" s="150">
        <f>IF(NFI_Expiration=1,IF($A106&lt;VLOOKUP(S$5,NFI,5,0),1,0)*Data_NFI_t[[#This Row],[Plastic Mat]],0)*IF(Data_NFI_t[[#This Row],[Distribution Date]]&gt;"01-04-2014",1,2.5)</f>
        <v>0</v>
      </c>
      <c r="AE106" s="150" t="str">
        <f ca="1">IFERROR(OFFSET(Camp_List[P_Code],MATCH(Data_NFI_t[[#This Row],[Camp Name]],Camp_List[Camp Name],0)-1,0,1,1),"")</f>
        <v>MMR012CMP115</v>
      </c>
      <c r="AF106" s="714" t="str">
        <f ca="1">IFERROR(OFFSET(Camp_List[Status],MATCH(Data_NFI_t[[#This Row],[Camp Name]],Camp_List[Camp Name],0)-1,0,1,1),"")</f>
        <v>Open</v>
      </c>
    </row>
    <row r="107" spans="1:32" s="102" customFormat="1" ht="15" customHeight="1" x14ac:dyDescent="0.25">
      <c r="A107" s="265">
        <f t="shared" si="1"/>
        <v>24.2</v>
      </c>
      <c r="B107" s="265">
        <f>YEAR(Data_NFI_t[[#This Row],[Distribution Date]])</f>
        <v>2013</v>
      </c>
      <c r="C107" s="738">
        <v>41613</v>
      </c>
      <c r="D107" s="655" t="s">
        <v>288</v>
      </c>
      <c r="E107" s="654" t="s">
        <v>288</v>
      </c>
      <c r="F107" s="655" t="s">
        <v>7</v>
      </c>
      <c r="G107" s="31" t="s">
        <v>19</v>
      </c>
      <c r="H107" s="31" t="s">
        <v>655</v>
      </c>
      <c r="I107" s="31"/>
      <c r="J107" s="61"/>
      <c r="K107" s="61"/>
      <c r="L107" s="61"/>
      <c r="M107" s="61">
        <v>33</v>
      </c>
      <c r="N107" s="61"/>
      <c r="O107" s="61"/>
      <c r="P107" s="61"/>
      <c r="Q107" s="61"/>
      <c r="R107" s="708"/>
      <c r="S107" s="61"/>
      <c r="T107" s="150">
        <f>IF(NFI_Expiration=1,IF($A107&lt;VLOOKUP(I$5,NFI,5,0),1,0)*Data_NFI_t[[#This Row],[Hygiene Kit]],0)</f>
        <v>0</v>
      </c>
      <c r="U107" s="150">
        <f>IF(NFI_Expiration=1,IF($A107&lt;VLOOKUP(J$5,NFI,5,0),1,0)*Data_NFI_t[[#This Row],[NFI Core Kit]],0)</f>
        <v>0</v>
      </c>
      <c r="V107" s="131">
        <f>IF(NFI_Expiration=1,IF($A107&lt;VLOOKUP(K$5,NFI,5,0),1,0)*Data_NFI_t[[#This Row],[Sanitary Kit]],0)</f>
        <v>0</v>
      </c>
      <c r="W107" s="131">
        <f>IF(NFI_Expiration=1,IF($A107&lt;VLOOKUP(L$5,NFI,5,0),1,0)*Data_NFI_t[[#This Row],[Mosquito net]],0)</f>
        <v>0</v>
      </c>
      <c r="X107" s="131">
        <f>IF(NFI_Expiration=1,IF($A107&lt;VLOOKUP(M$5,NFI,5,0),1,0)*Data_NFI_t[[#This Row],[Tarpaulin]],0)</f>
        <v>0</v>
      </c>
      <c r="Y107" s="131">
        <f>IF(NFI_Expiration=1,IF($A107&lt;VLOOKUP(N$5,NFI,5,0),1,0)*Data_NFI_t[[#This Row],[Blanket]],0)</f>
        <v>0</v>
      </c>
      <c r="Z107" s="131">
        <f>IF(NFI_Expiration=1,IF($A107&lt;VLOOKUP(O$5,NFI,5,0),1,0)*Data_NFI_t[[#This Row],[Kitchen Set]],0)</f>
        <v>0</v>
      </c>
      <c r="AA107" s="131">
        <f>IF(NFI_Expiration=1,IF($A107&lt;VLOOKUP(P$5,NFI,5,0),1,0)*Data_NFI_t[[#This Row],[Complementary Kit]],0)</f>
        <v>0</v>
      </c>
      <c r="AB107" s="131">
        <f>IF(NFI_Expiration=1,IF($A107&lt;VLOOKUP(Q$5,NFI,5,0),1,0)*Data_NFI_t[[#This Row],[Plastic Bucket]],0)</f>
        <v>0</v>
      </c>
      <c r="AC107" s="131">
        <f>IF(NFI_Expiration=1,IF($A107&lt;VLOOKUP(R$5,NFI,5,0),1,0)*Data_NFI_t[[#This Row],[Jerry Can]],0)</f>
        <v>0</v>
      </c>
      <c r="AD107" s="150">
        <f>IF(NFI_Expiration=1,IF($A107&lt;VLOOKUP(S$5,NFI,5,0),1,0)*Data_NFI_t[[#This Row],[Plastic Mat]],0)*IF(Data_NFI_t[[#This Row],[Distribution Date]]&gt;"01-04-2014",1,2.5)</f>
        <v>0</v>
      </c>
      <c r="AE107" s="150" t="str">
        <f ca="1">IFERROR(OFFSET(Camp_List[P_Code],MATCH(Data_NFI_t[[#This Row],[Camp Name]],Camp_List[Camp Name],0)-1,0,1,1),"")</f>
        <v>MMR012CMP115</v>
      </c>
      <c r="AF107" s="714" t="str">
        <f ca="1">IFERROR(OFFSET(Camp_List[Status],MATCH(Data_NFI_t[[#This Row],[Camp Name]],Camp_List[Camp Name],0)-1,0,1,1),"")</f>
        <v>Open</v>
      </c>
    </row>
    <row r="108" spans="1:32" s="102" customFormat="1" ht="15" customHeight="1" x14ac:dyDescent="0.25">
      <c r="A108" s="265">
        <f t="shared" si="1"/>
        <v>24.733333333333334</v>
      </c>
      <c r="B108" s="265">
        <f>YEAR(Data_NFI_t[[#This Row],[Distribution Date]])</f>
        <v>2013</v>
      </c>
      <c r="C108" s="738">
        <v>41597</v>
      </c>
      <c r="D108" s="655" t="s">
        <v>643</v>
      </c>
      <c r="E108" s="654" t="s">
        <v>643</v>
      </c>
      <c r="F108" s="655" t="s">
        <v>7</v>
      </c>
      <c r="G108" s="31" t="s">
        <v>19</v>
      </c>
      <c r="H108" s="31" t="s">
        <v>656</v>
      </c>
      <c r="I108" s="31"/>
      <c r="J108" s="61">
        <v>731</v>
      </c>
      <c r="K108" s="61"/>
      <c r="L108" s="61"/>
      <c r="M108" s="61"/>
      <c r="N108" s="61"/>
      <c r="O108" s="61"/>
      <c r="P108" s="61"/>
      <c r="Q108" s="61"/>
      <c r="R108" s="708"/>
      <c r="S108" s="61"/>
      <c r="T108" s="150">
        <f>IF(NFI_Expiration=1,IF($A108&lt;VLOOKUP(I$5,NFI,5,0),1,0)*Data_NFI_t[[#This Row],[Hygiene Kit]],0)</f>
        <v>0</v>
      </c>
      <c r="U108" s="150">
        <f>IF(NFI_Expiration=1,IF($A108&lt;VLOOKUP(J$5,NFI,5,0),1,0)*Data_NFI_t[[#This Row],[NFI Core Kit]],0)</f>
        <v>0</v>
      </c>
      <c r="V108" s="131">
        <f>IF(NFI_Expiration=1,IF($A108&lt;VLOOKUP(K$5,NFI,5,0),1,0)*Data_NFI_t[[#This Row],[Sanitary Kit]],0)</f>
        <v>0</v>
      </c>
      <c r="W108" s="131">
        <f>IF(NFI_Expiration=1,IF($A108&lt;VLOOKUP(L$5,NFI,5,0),1,0)*Data_NFI_t[[#This Row],[Mosquito net]],0)</f>
        <v>0</v>
      </c>
      <c r="X108" s="131">
        <f>IF(NFI_Expiration=1,IF($A108&lt;VLOOKUP(M$5,NFI,5,0),1,0)*Data_NFI_t[[#This Row],[Tarpaulin]],0)</f>
        <v>0</v>
      </c>
      <c r="Y108" s="131">
        <f>IF(NFI_Expiration=1,IF($A108&lt;VLOOKUP(N$5,NFI,5,0),1,0)*Data_NFI_t[[#This Row],[Blanket]],0)</f>
        <v>0</v>
      </c>
      <c r="Z108" s="131">
        <f>IF(NFI_Expiration=1,IF($A108&lt;VLOOKUP(O$5,NFI,5,0),1,0)*Data_NFI_t[[#This Row],[Kitchen Set]],0)</f>
        <v>0</v>
      </c>
      <c r="AA108" s="131">
        <f>IF(NFI_Expiration=1,IF($A108&lt;VLOOKUP(P$5,NFI,5,0),1,0)*Data_NFI_t[[#This Row],[Complementary Kit]],0)</f>
        <v>0</v>
      </c>
      <c r="AB108" s="131">
        <f>IF(NFI_Expiration=1,IF($A108&lt;VLOOKUP(Q$5,NFI,5,0),1,0)*Data_NFI_t[[#This Row],[Plastic Bucket]],0)</f>
        <v>0</v>
      </c>
      <c r="AC108" s="131">
        <f>IF(NFI_Expiration=1,IF($A108&lt;VLOOKUP(R$5,NFI,5,0),1,0)*Data_NFI_t[[#This Row],[Jerry Can]],0)</f>
        <v>0</v>
      </c>
      <c r="AD108" s="150">
        <f>IF(NFI_Expiration=1,IF($A108&lt;VLOOKUP(S$5,NFI,5,0),1,0)*Data_NFI_t[[#This Row],[Plastic Mat]],0)*IF(Data_NFI_t[[#This Row],[Distribution Date]]&gt;"01-04-2014",1,2.5)</f>
        <v>0</v>
      </c>
      <c r="AE108" s="150" t="str">
        <f ca="1">IFERROR(OFFSET(Camp_List[P_Code],MATCH(Data_NFI_t[[#This Row],[Camp Name]],Camp_List[Camp Name],0)-1,0,1,1),"")</f>
        <v>MMR012CMP116</v>
      </c>
      <c r="AF108" s="714" t="str">
        <f ca="1">IFERROR(OFFSET(Camp_List[Status],MATCH(Data_NFI_t[[#This Row],[Camp Name]],Camp_List[Camp Name],0)-1,0,1,1),"")</f>
        <v>Open</v>
      </c>
    </row>
    <row r="109" spans="1:32" s="102" customFormat="1" ht="15" customHeight="1" x14ac:dyDescent="0.25">
      <c r="A109" s="265">
        <f t="shared" si="1"/>
        <v>24.9</v>
      </c>
      <c r="B109" s="265">
        <f>YEAR(Data_NFI_t[[#This Row],[Distribution Date]])</f>
        <v>2013</v>
      </c>
      <c r="C109" s="738">
        <v>41592</v>
      </c>
      <c r="D109" s="655" t="s">
        <v>643</v>
      </c>
      <c r="E109" s="654" t="s">
        <v>643</v>
      </c>
      <c r="F109" s="655" t="s">
        <v>7</v>
      </c>
      <c r="G109" s="31" t="s">
        <v>19</v>
      </c>
      <c r="H109" s="31" t="s">
        <v>656</v>
      </c>
      <c r="I109" s="31"/>
      <c r="J109" s="61">
        <v>264</v>
      </c>
      <c r="K109" s="61"/>
      <c r="L109" s="61"/>
      <c r="M109" s="61"/>
      <c r="N109" s="61"/>
      <c r="O109" s="61"/>
      <c r="P109" s="61"/>
      <c r="Q109" s="61"/>
      <c r="R109" s="708"/>
      <c r="S109" s="61"/>
      <c r="T109" s="150">
        <f>IF(NFI_Expiration=1,IF($A109&lt;VLOOKUP(I$5,NFI,5,0),1,0)*Data_NFI_t[[#This Row],[Hygiene Kit]],0)</f>
        <v>0</v>
      </c>
      <c r="U109" s="150">
        <f>IF(NFI_Expiration=1,IF($A109&lt;VLOOKUP(J$5,NFI,5,0),1,0)*Data_NFI_t[[#This Row],[NFI Core Kit]],0)</f>
        <v>0</v>
      </c>
      <c r="V109" s="131">
        <f>IF(NFI_Expiration=1,IF($A109&lt;VLOOKUP(K$5,NFI,5,0),1,0)*Data_NFI_t[[#This Row],[Sanitary Kit]],0)</f>
        <v>0</v>
      </c>
      <c r="W109" s="131">
        <f>IF(NFI_Expiration=1,IF($A109&lt;VLOOKUP(L$5,NFI,5,0),1,0)*Data_NFI_t[[#This Row],[Mosquito net]],0)</f>
        <v>0</v>
      </c>
      <c r="X109" s="131">
        <f>IF(NFI_Expiration=1,IF($A109&lt;VLOOKUP(M$5,NFI,5,0),1,0)*Data_NFI_t[[#This Row],[Tarpaulin]],0)</f>
        <v>0</v>
      </c>
      <c r="Y109" s="131">
        <f>IF(NFI_Expiration=1,IF($A109&lt;VLOOKUP(N$5,NFI,5,0),1,0)*Data_NFI_t[[#This Row],[Blanket]],0)</f>
        <v>0</v>
      </c>
      <c r="Z109" s="131">
        <f>IF(NFI_Expiration=1,IF($A109&lt;VLOOKUP(O$5,NFI,5,0),1,0)*Data_NFI_t[[#This Row],[Kitchen Set]],0)</f>
        <v>0</v>
      </c>
      <c r="AA109" s="131">
        <f>IF(NFI_Expiration=1,IF($A109&lt;VLOOKUP(P$5,NFI,5,0),1,0)*Data_NFI_t[[#This Row],[Complementary Kit]],0)</f>
        <v>0</v>
      </c>
      <c r="AB109" s="131">
        <f>IF(NFI_Expiration=1,IF($A109&lt;VLOOKUP(Q$5,NFI,5,0),1,0)*Data_NFI_t[[#This Row],[Plastic Bucket]],0)</f>
        <v>0</v>
      </c>
      <c r="AC109" s="131">
        <f>IF(NFI_Expiration=1,IF($A109&lt;VLOOKUP(R$5,NFI,5,0),1,0)*Data_NFI_t[[#This Row],[Jerry Can]],0)</f>
        <v>0</v>
      </c>
      <c r="AD109" s="150">
        <f>IF(NFI_Expiration=1,IF($A109&lt;VLOOKUP(S$5,NFI,5,0),1,0)*Data_NFI_t[[#This Row],[Plastic Mat]],0)*IF(Data_NFI_t[[#This Row],[Distribution Date]]&gt;"01-04-2014",1,2.5)</f>
        <v>0</v>
      </c>
      <c r="AE109" s="150" t="str">
        <f ca="1">IFERROR(OFFSET(Camp_List[P_Code],MATCH(Data_NFI_t[[#This Row],[Camp Name]],Camp_List[Camp Name],0)-1,0,1,1),"")</f>
        <v>MMR012CMP116</v>
      </c>
      <c r="AF109" s="714" t="str">
        <f ca="1">IFERROR(OFFSET(Camp_List[Status],MATCH(Data_NFI_t[[#This Row],[Camp Name]],Camp_List[Camp Name],0)-1,0,1,1),"")</f>
        <v>Open</v>
      </c>
    </row>
    <row r="110" spans="1:32" s="102" customFormat="1" ht="15" customHeight="1" x14ac:dyDescent="0.25">
      <c r="A110" s="265">
        <f t="shared" si="1"/>
        <v>24.933333333333334</v>
      </c>
      <c r="B110" s="265">
        <f>YEAR(Data_NFI_t[[#This Row],[Distribution Date]])</f>
        <v>2013</v>
      </c>
      <c r="C110" s="738">
        <v>41591</v>
      </c>
      <c r="D110" s="655" t="s">
        <v>288</v>
      </c>
      <c r="E110" s="654" t="s">
        <v>288</v>
      </c>
      <c r="F110" s="655" t="s">
        <v>7</v>
      </c>
      <c r="G110" s="31" t="s">
        <v>15</v>
      </c>
      <c r="H110" s="31" t="s">
        <v>44</v>
      </c>
      <c r="I110" s="31">
        <v>48</v>
      </c>
      <c r="J110" s="61"/>
      <c r="K110" s="61"/>
      <c r="L110" s="61"/>
      <c r="M110" s="61"/>
      <c r="N110" s="61"/>
      <c r="O110" s="61"/>
      <c r="P110" s="61"/>
      <c r="Q110" s="61"/>
      <c r="R110" s="708"/>
      <c r="S110" s="61"/>
      <c r="T110" s="150">
        <f>IF(NFI_Expiration=1,IF($A110&lt;VLOOKUP(I$5,NFI,5,0),1,0)*Data_NFI_t[[#This Row],[Hygiene Kit]],0)</f>
        <v>0</v>
      </c>
      <c r="U110" s="150">
        <f>IF(NFI_Expiration=1,IF($A110&lt;VLOOKUP(J$5,NFI,5,0),1,0)*Data_NFI_t[[#This Row],[NFI Core Kit]],0)</f>
        <v>0</v>
      </c>
      <c r="V110" s="131">
        <f>IF(NFI_Expiration=1,IF($A110&lt;VLOOKUP(K$5,NFI,5,0),1,0)*Data_NFI_t[[#This Row],[Sanitary Kit]],0)</f>
        <v>0</v>
      </c>
      <c r="W110" s="131">
        <f>IF(NFI_Expiration=1,IF($A110&lt;VLOOKUP(L$5,NFI,5,0),1,0)*Data_NFI_t[[#This Row],[Mosquito net]],0)</f>
        <v>0</v>
      </c>
      <c r="X110" s="131">
        <f>IF(NFI_Expiration=1,IF($A110&lt;VLOOKUP(M$5,NFI,5,0),1,0)*Data_NFI_t[[#This Row],[Tarpaulin]],0)</f>
        <v>0</v>
      </c>
      <c r="Y110" s="131">
        <f>IF(NFI_Expiration=1,IF($A110&lt;VLOOKUP(N$5,NFI,5,0),1,0)*Data_NFI_t[[#This Row],[Blanket]],0)</f>
        <v>0</v>
      </c>
      <c r="Z110" s="131">
        <f>IF(NFI_Expiration=1,IF($A110&lt;VLOOKUP(O$5,NFI,5,0),1,0)*Data_NFI_t[[#This Row],[Kitchen Set]],0)</f>
        <v>0</v>
      </c>
      <c r="AA110" s="131">
        <f>IF(NFI_Expiration=1,IF($A110&lt;VLOOKUP(P$5,NFI,5,0),1,0)*Data_NFI_t[[#This Row],[Complementary Kit]],0)</f>
        <v>0</v>
      </c>
      <c r="AB110" s="131">
        <f>IF(NFI_Expiration=1,IF($A110&lt;VLOOKUP(Q$5,NFI,5,0),1,0)*Data_NFI_t[[#This Row],[Plastic Bucket]],0)</f>
        <v>0</v>
      </c>
      <c r="AC110" s="131">
        <f>IF(NFI_Expiration=1,IF($A110&lt;VLOOKUP(R$5,NFI,5,0),1,0)*Data_NFI_t[[#This Row],[Jerry Can]],0)</f>
        <v>0</v>
      </c>
      <c r="AD110" s="150">
        <f>IF(NFI_Expiration=1,IF($A110&lt;VLOOKUP(S$5,NFI,5,0),1,0)*Data_NFI_t[[#This Row],[Plastic Mat]],0)*IF(Data_NFI_t[[#This Row],[Distribution Date]]&gt;"01-04-2014",1,2.5)</f>
        <v>0</v>
      </c>
      <c r="AE110" s="150" t="str">
        <f ca="1">IFERROR(OFFSET(Camp_List[P_Code],MATCH(Data_NFI_t[[#This Row],[Camp Name]],Camp_List[Camp Name],0)-1,0,1,1),"")</f>
        <v>MMR012CMP020</v>
      </c>
      <c r="AF110" s="714" t="str">
        <f ca="1">IFERROR(OFFSET(Camp_List[Status],MATCH(Data_NFI_t[[#This Row],[Camp Name]],Camp_List[Camp Name],0)-1,0,1,1),"")</f>
        <v>Open</v>
      </c>
    </row>
    <row r="111" spans="1:32" s="102" customFormat="1" ht="15" customHeight="1" x14ac:dyDescent="0.25">
      <c r="A111" s="265">
        <f t="shared" si="1"/>
        <v>24.933333333333334</v>
      </c>
      <c r="B111" s="265">
        <f>YEAR(Data_NFI_t[[#This Row],[Distribution Date]])</f>
        <v>2013</v>
      </c>
      <c r="C111" s="738">
        <v>41591</v>
      </c>
      <c r="D111" s="655" t="s">
        <v>288</v>
      </c>
      <c r="E111" s="654" t="s">
        <v>288</v>
      </c>
      <c r="F111" s="655" t="s">
        <v>7</v>
      </c>
      <c r="G111" s="31" t="s">
        <v>15</v>
      </c>
      <c r="H111" s="31" t="s">
        <v>47</v>
      </c>
      <c r="I111" s="31">
        <v>187</v>
      </c>
      <c r="J111" s="61"/>
      <c r="K111" s="61"/>
      <c r="L111" s="61"/>
      <c r="M111" s="61"/>
      <c r="N111" s="61"/>
      <c r="O111" s="61"/>
      <c r="P111" s="61"/>
      <c r="Q111" s="61"/>
      <c r="R111" s="708"/>
      <c r="S111" s="61"/>
      <c r="T111" s="150">
        <f>IF(NFI_Expiration=1,IF($A111&lt;VLOOKUP(I$5,NFI,5,0),1,0)*Data_NFI_t[[#This Row],[Hygiene Kit]],0)</f>
        <v>0</v>
      </c>
      <c r="U111" s="150">
        <f>IF(NFI_Expiration=1,IF($A111&lt;VLOOKUP(J$5,NFI,5,0),1,0)*Data_NFI_t[[#This Row],[NFI Core Kit]],0)</f>
        <v>0</v>
      </c>
      <c r="V111" s="131">
        <f>IF(NFI_Expiration=1,IF($A111&lt;VLOOKUP(K$5,NFI,5,0),1,0)*Data_NFI_t[[#This Row],[Sanitary Kit]],0)</f>
        <v>0</v>
      </c>
      <c r="W111" s="131">
        <f>IF(NFI_Expiration=1,IF($A111&lt;VLOOKUP(L$5,NFI,5,0),1,0)*Data_NFI_t[[#This Row],[Mosquito net]],0)</f>
        <v>0</v>
      </c>
      <c r="X111" s="131">
        <f>IF(NFI_Expiration=1,IF($A111&lt;VLOOKUP(M$5,NFI,5,0),1,0)*Data_NFI_t[[#This Row],[Tarpaulin]],0)</f>
        <v>0</v>
      </c>
      <c r="Y111" s="131">
        <f>IF(NFI_Expiration=1,IF($A111&lt;VLOOKUP(N$5,NFI,5,0),1,0)*Data_NFI_t[[#This Row],[Blanket]],0)</f>
        <v>0</v>
      </c>
      <c r="Z111" s="131">
        <f>IF(NFI_Expiration=1,IF($A111&lt;VLOOKUP(O$5,NFI,5,0),1,0)*Data_NFI_t[[#This Row],[Kitchen Set]],0)</f>
        <v>0</v>
      </c>
      <c r="AA111" s="131">
        <f>IF(NFI_Expiration=1,IF($A111&lt;VLOOKUP(P$5,NFI,5,0),1,0)*Data_NFI_t[[#This Row],[Complementary Kit]],0)</f>
        <v>0</v>
      </c>
      <c r="AB111" s="131">
        <f>IF(NFI_Expiration=1,IF($A111&lt;VLOOKUP(Q$5,NFI,5,0),1,0)*Data_NFI_t[[#This Row],[Plastic Bucket]],0)</f>
        <v>0</v>
      </c>
      <c r="AC111" s="131">
        <f>IF(NFI_Expiration=1,IF($A111&lt;VLOOKUP(R$5,NFI,5,0),1,0)*Data_NFI_t[[#This Row],[Jerry Can]],0)</f>
        <v>0</v>
      </c>
      <c r="AD111" s="150">
        <f>IF(NFI_Expiration=1,IF($A111&lt;VLOOKUP(S$5,NFI,5,0),1,0)*Data_NFI_t[[#This Row],[Plastic Mat]],0)*IF(Data_NFI_t[[#This Row],[Distribution Date]]&gt;"01-04-2014",1,2.5)</f>
        <v>0</v>
      </c>
      <c r="AE111" s="150" t="str">
        <f ca="1">IFERROR(OFFSET(Camp_List[P_Code],MATCH(Data_NFI_t[[#This Row],[Camp Name]],Camp_List[Camp Name],0)-1,0,1,1),"")</f>
        <v>MMR012CMP023</v>
      </c>
      <c r="AF111" s="714" t="str">
        <f ca="1">IFERROR(OFFSET(Camp_List[Status],MATCH(Data_NFI_t[[#This Row],[Camp Name]],Camp_List[Camp Name],0)-1,0,1,1),"")</f>
        <v>Open</v>
      </c>
    </row>
    <row r="112" spans="1:32" s="102" customFormat="1" ht="15" customHeight="1" x14ac:dyDescent="0.25">
      <c r="A112" s="265">
        <f t="shared" si="1"/>
        <v>24.933333333333334</v>
      </c>
      <c r="B112" s="265">
        <f>YEAR(Data_NFI_t[[#This Row],[Distribution Date]])</f>
        <v>2013</v>
      </c>
      <c r="C112" s="738">
        <v>41591</v>
      </c>
      <c r="D112" s="655" t="s">
        <v>643</v>
      </c>
      <c r="E112" s="654" t="s">
        <v>643</v>
      </c>
      <c r="F112" s="655" t="s">
        <v>7</v>
      </c>
      <c r="G112" s="31" t="s">
        <v>19</v>
      </c>
      <c r="H112" s="31" t="s">
        <v>656</v>
      </c>
      <c r="I112" s="31"/>
      <c r="J112" s="61">
        <v>200</v>
      </c>
      <c r="K112" s="61"/>
      <c r="L112" s="61"/>
      <c r="M112" s="61"/>
      <c r="N112" s="61"/>
      <c r="O112" s="61"/>
      <c r="P112" s="61"/>
      <c r="Q112" s="61"/>
      <c r="R112" s="708"/>
      <c r="S112" s="61"/>
      <c r="T112" s="150">
        <f>IF(NFI_Expiration=1,IF($A112&lt;VLOOKUP(I$5,NFI,5,0),1,0)*Data_NFI_t[[#This Row],[Hygiene Kit]],0)</f>
        <v>0</v>
      </c>
      <c r="U112" s="150">
        <f>IF(NFI_Expiration=1,IF($A112&lt;VLOOKUP(J$5,NFI,5,0),1,0)*Data_NFI_t[[#This Row],[NFI Core Kit]],0)</f>
        <v>0</v>
      </c>
      <c r="V112" s="131">
        <f>IF(NFI_Expiration=1,IF($A112&lt;VLOOKUP(K$5,NFI,5,0),1,0)*Data_NFI_t[[#This Row],[Sanitary Kit]],0)</f>
        <v>0</v>
      </c>
      <c r="W112" s="131">
        <f>IF(NFI_Expiration=1,IF($A112&lt;VLOOKUP(L$5,NFI,5,0),1,0)*Data_NFI_t[[#This Row],[Mosquito net]],0)</f>
        <v>0</v>
      </c>
      <c r="X112" s="131">
        <f>IF(NFI_Expiration=1,IF($A112&lt;VLOOKUP(M$5,NFI,5,0),1,0)*Data_NFI_t[[#This Row],[Tarpaulin]],0)</f>
        <v>0</v>
      </c>
      <c r="Y112" s="131">
        <f>IF(NFI_Expiration=1,IF($A112&lt;VLOOKUP(N$5,NFI,5,0),1,0)*Data_NFI_t[[#This Row],[Blanket]],0)</f>
        <v>0</v>
      </c>
      <c r="Z112" s="131">
        <f>IF(NFI_Expiration=1,IF($A112&lt;VLOOKUP(O$5,NFI,5,0),1,0)*Data_NFI_t[[#This Row],[Kitchen Set]],0)</f>
        <v>0</v>
      </c>
      <c r="AA112" s="131">
        <f>IF(NFI_Expiration=1,IF($A112&lt;VLOOKUP(P$5,NFI,5,0),1,0)*Data_NFI_t[[#This Row],[Complementary Kit]],0)</f>
        <v>0</v>
      </c>
      <c r="AB112" s="131">
        <f>IF(NFI_Expiration=1,IF($A112&lt;VLOOKUP(Q$5,NFI,5,0),1,0)*Data_NFI_t[[#This Row],[Plastic Bucket]],0)</f>
        <v>0</v>
      </c>
      <c r="AC112" s="131">
        <f>IF(NFI_Expiration=1,IF($A112&lt;VLOOKUP(R$5,NFI,5,0),1,0)*Data_NFI_t[[#This Row],[Jerry Can]],0)</f>
        <v>0</v>
      </c>
      <c r="AD112" s="150">
        <f>IF(NFI_Expiration=1,IF($A112&lt;VLOOKUP(S$5,NFI,5,0),1,0)*Data_NFI_t[[#This Row],[Plastic Mat]],0)*IF(Data_NFI_t[[#This Row],[Distribution Date]]&gt;"01-04-2014",1,2.5)</f>
        <v>0</v>
      </c>
      <c r="AE112" s="150" t="str">
        <f ca="1">IFERROR(OFFSET(Camp_List[P_Code],MATCH(Data_NFI_t[[#This Row],[Camp Name]],Camp_List[Camp Name],0)-1,0,1,1),"")</f>
        <v>MMR012CMP116</v>
      </c>
      <c r="AF112" s="714" t="str">
        <f ca="1">IFERROR(OFFSET(Camp_List[Status],MATCH(Data_NFI_t[[#This Row],[Camp Name]],Camp_List[Camp Name],0)-1,0,1,1),"")</f>
        <v>Open</v>
      </c>
    </row>
    <row r="113" spans="1:32" s="102" customFormat="1" ht="15" customHeight="1" x14ac:dyDescent="0.25">
      <c r="A113" s="265">
        <f t="shared" si="1"/>
        <v>24.933333333333334</v>
      </c>
      <c r="B113" s="265">
        <f>YEAR(Data_NFI_t[[#This Row],[Distribution Date]])</f>
        <v>2013</v>
      </c>
      <c r="C113" s="738">
        <v>41591</v>
      </c>
      <c r="D113" s="655" t="s">
        <v>643</v>
      </c>
      <c r="E113" s="654" t="s">
        <v>643</v>
      </c>
      <c r="F113" s="655" t="s">
        <v>7</v>
      </c>
      <c r="G113" s="31" t="s">
        <v>19</v>
      </c>
      <c r="H113" s="31" t="s">
        <v>656</v>
      </c>
      <c r="I113" s="31"/>
      <c r="J113" s="61">
        <v>103</v>
      </c>
      <c r="K113" s="61"/>
      <c r="L113" s="61"/>
      <c r="M113" s="61"/>
      <c r="N113" s="61"/>
      <c r="O113" s="61"/>
      <c r="P113" s="61"/>
      <c r="Q113" s="61"/>
      <c r="R113" s="708"/>
      <c r="S113" s="61"/>
      <c r="T113" s="150">
        <f>IF(NFI_Expiration=1,IF($A113&lt;VLOOKUP(I$5,NFI,5,0),1,0)*Data_NFI_t[[#This Row],[Hygiene Kit]],0)</f>
        <v>0</v>
      </c>
      <c r="U113" s="150">
        <f>IF(NFI_Expiration=1,IF($A113&lt;VLOOKUP(J$5,NFI,5,0),1,0)*Data_NFI_t[[#This Row],[NFI Core Kit]],0)</f>
        <v>0</v>
      </c>
      <c r="V113" s="131">
        <f>IF(NFI_Expiration=1,IF($A113&lt;VLOOKUP(K$5,NFI,5,0),1,0)*Data_NFI_t[[#This Row],[Sanitary Kit]],0)</f>
        <v>0</v>
      </c>
      <c r="W113" s="131">
        <f>IF(NFI_Expiration=1,IF($A113&lt;VLOOKUP(L$5,NFI,5,0),1,0)*Data_NFI_t[[#This Row],[Mosquito net]],0)</f>
        <v>0</v>
      </c>
      <c r="X113" s="131">
        <f>IF(NFI_Expiration=1,IF($A113&lt;VLOOKUP(M$5,NFI,5,0),1,0)*Data_NFI_t[[#This Row],[Tarpaulin]],0)</f>
        <v>0</v>
      </c>
      <c r="Y113" s="131">
        <f>IF(NFI_Expiration=1,IF($A113&lt;VLOOKUP(N$5,NFI,5,0),1,0)*Data_NFI_t[[#This Row],[Blanket]],0)</f>
        <v>0</v>
      </c>
      <c r="Z113" s="131">
        <f>IF(NFI_Expiration=1,IF($A113&lt;VLOOKUP(O$5,NFI,5,0),1,0)*Data_NFI_t[[#This Row],[Kitchen Set]],0)</f>
        <v>0</v>
      </c>
      <c r="AA113" s="131">
        <f>IF(NFI_Expiration=1,IF($A113&lt;VLOOKUP(P$5,NFI,5,0),1,0)*Data_NFI_t[[#This Row],[Complementary Kit]],0)</f>
        <v>0</v>
      </c>
      <c r="AB113" s="131">
        <f>IF(NFI_Expiration=1,IF($A113&lt;VLOOKUP(Q$5,NFI,5,0),1,0)*Data_NFI_t[[#This Row],[Plastic Bucket]],0)</f>
        <v>0</v>
      </c>
      <c r="AC113" s="131">
        <f>IF(NFI_Expiration=1,IF($A113&lt;VLOOKUP(R$5,NFI,5,0),1,0)*Data_NFI_t[[#This Row],[Jerry Can]],0)</f>
        <v>0</v>
      </c>
      <c r="AD113" s="150">
        <f>IF(NFI_Expiration=1,IF($A113&lt;VLOOKUP(S$5,NFI,5,0),1,0)*Data_NFI_t[[#This Row],[Plastic Mat]],0)*IF(Data_NFI_t[[#This Row],[Distribution Date]]&gt;"01-04-2014",1,2.5)</f>
        <v>0</v>
      </c>
      <c r="AE113" s="150" t="str">
        <f ca="1">IFERROR(OFFSET(Camp_List[P_Code],MATCH(Data_NFI_t[[#This Row],[Camp Name]],Camp_List[Camp Name],0)-1,0,1,1),"")</f>
        <v>MMR012CMP116</v>
      </c>
      <c r="AF113" s="714" t="str">
        <f ca="1">IFERROR(OFFSET(Camp_List[Status],MATCH(Data_NFI_t[[#This Row],[Camp Name]],Camp_List[Camp Name],0)-1,0,1,1),"")</f>
        <v>Open</v>
      </c>
    </row>
    <row r="114" spans="1:32" s="102" customFormat="1" ht="15" customHeight="1" x14ac:dyDescent="0.25">
      <c r="A114" s="265">
        <f t="shared" si="1"/>
        <v>24.933333333333334</v>
      </c>
      <c r="B114" s="265">
        <f>YEAR(Data_NFI_t[[#This Row],[Distribution Date]])</f>
        <v>2013</v>
      </c>
      <c r="C114" s="738">
        <v>41591</v>
      </c>
      <c r="D114" s="655" t="s">
        <v>288</v>
      </c>
      <c r="E114" s="654" t="s">
        <v>288</v>
      </c>
      <c r="F114" s="655" t="s">
        <v>7</v>
      </c>
      <c r="G114" s="31" t="s">
        <v>15</v>
      </c>
      <c r="H114" s="31" t="s">
        <v>53</v>
      </c>
      <c r="I114" s="31">
        <v>340</v>
      </c>
      <c r="J114" s="61"/>
      <c r="K114" s="61"/>
      <c r="L114" s="61"/>
      <c r="M114" s="61"/>
      <c r="N114" s="61"/>
      <c r="O114" s="61"/>
      <c r="P114" s="61"/>
      <c r="Q114" s="61"/>
      <c r="R114" s="708"/>
      <c r="S114" s="61"/>
      <c r="T114" s="150">
        <f>IF(NFI_Expiration=1,IF($A114&lt;VLOOKUP(I$5,NFI,5,0),1,0)*Data_NFI_t[[#This Row],[Hygiene Kit]],0)</f>
        <v>0</v>
      </c>
      <c r="U114" s="150">
        <f>IF(NFI_Expiration=1,IF($A114&lt;VLOOKUP(J$5,NFI,5,0),1,0)*Data_NFI_t[[#This Row],[NFI Core Kit]],0)</f>
        <v>0</v>
      </c>
      <c r="V114" s="131">
        <f>IF(NFI_Expiration=1,IF($A114&lt;VLOOKUP(K$5,NFI,5,0),1,0)*Data_NFI_t[[#This Row],[Sanitary Kit]],0)</f>
        <v>0</v>
      </c>
      <c r="W114" s="131">
        <f>IF(NFI_Expiration=1,IF($A114&lt;VLOOKUP(L$5,NFI,5,0),1,0)*Data_NFI_t[[#This Row],[Mosquito net]],0)</f>
        <v>0</v>
      </c>
      <c r="X114" s="131">
        <f>IF(NFI_Expiration=1,IF($A114&lt;VLOOKUP(M$5,NFI,5,0),1,0)*Data_NFI_t[[#This Row],[Tarpaulin]],0)</f>
        <v>0</v>
      </c>
      <c r="Y114" s="131">
        <f>IF(NFI_Expiration=1,IF($A114&lt;VLOOKUP(N$5,NFI,5,0),1,0)*Data_NFI_t[[#This Row],[Blanket]],0)</f>
        <v>0</v>
      </c>
      <c r="Z114" s="131">
        <f>IF(NFI_Expiration=1,IF($A114&lt;VLOOKUP(O$5,NFI,5,0),1,0)*Data_NFI_t[[#This Row],[Kitchen Set]],0)</f>
        <v>0</v>
      </c>
      <c r="AA114" s="131">
        <f>IF(NFI_Expiration=1,IF($A114&lt;VLOOKUP(P$5,NFI,5,0),1,0)*Data_NFI_t[[#This Row],[Complementary Kit]],0)</f>
        <v>0</v>
      </c>
      <c r="AB114" s="131">
        <f>IF(NFI_Expiration=1,IF($A114&lt;VLOOKUP(Q$5,NFI,5,0),1,0)*Data_NFI_t[[#This Row],[Plastic Bucket]],0)</f>
        <v>0</v>
      </c>
      <c r="AC114" s="131">
        <f>IF(NFI_Expiration=1,IF($A114&lt;VLOOKUP(R$5,NFI,5,0),1,0)*Data_NFI_t[[#This Row],[Jerry Can]],0)</f>
        <v>0</v>
      </c>
      <c r="AD114" s="150">
        <f>IF(NFI_Expiration=1,IF($A114&lt;VLOOKUP(S$5,NFI,5,0),1,0)*Data_NFI_t[[#This Row],[Plastic Mat]],0)*IF(Data_NFI_t[[#This Row],[Distribution Date]]&gt;"01-04-2014",1,2.5)</f>
        <v>0</v>
      </c>
      <c r="AE114" s="150" t="str">
        <f ca="1">IFERROR(OFFSET(Camp_List[P_Code],MATCH(Data_NFI_t[[#This Row],[Camp Name]],Camp_List[Camp Name],0)-1,0,1,1),"")</f>
        <v>MMR012CMP029</v>
      </c>
      <c r="AF114" s="714" t="str">
        <f ca="1">IFERROR(OFFSET(Camp_List[Status],MATCH(Data_NFI_t[[#This Row],[Camp Name]],Camp_List[Camp Name],0)-1,0,1,1),"")</f>
        <v>Open</v>
      </c>
    </row>
    <row r="115" spans="1:32" s="102" customFormat="1" ht="15" customHeight="1" x14ac:dyDescent="0.25">
      <c r="A115" s="265">
        <f t="shared" si="1"/>
        <v>24.966666666666665</v>
      </c>
      <c r="B115" s="265">
        <f>YEAR(Data_NFI_t[[#This Row],[Distribution Date]])</f>
        <v>2013</v>
      </c>
      <c r="C115" s="738">
        <v>41590</v>
      </c>
      <c r="D115" s="655" t="s">
        <v>288</v>
      </c>
      <c r="E115" s="654" t="s">
        <v>288</v>
      </c>
      <c r="F115" s="655" t="s">
        <v>7</v>
      </c>
      <c r="G115" s="31" t="s">
        <v>15</v>
      </c>
      <c r="H115" s="31" t="s">
        <v>49</v>
      </c>
      <c r="I115" s="31">
        <v>36</v>
      </c>
      <c r="J115" s="61"/>
      <c r="K115" s="61"/>
      <c r="L115" s="61">
        <v>28</v>
      </c>
      <c r="M115" s="61">
        <v>83</v>
      </c>
      <c r="N115" s="61">
        <v>28</v>
      </c>
      <c r="O115" s="61">
        <v>14</v>
      </c>
      <c r="P115" s="61">
        <v>14</v>
      </c>
      <c r="Q115" s="61">
        <v>14</v>
      </c>
      <c r="R115" s="708"/>
      <c r="S115" s="61">
        <v>28</v>
      </c>
      <c r="T115" s="150">
        <f>IF(NFI_Expiration=1,IF($A115&lt;VLOOKUP(I$5,NFI,5,0),1,0)*Data_NFI_t[[#This Row],[Hygiene Kit]],0)</f>
        <v>0</v>
      </c>
      <c r="U115" s="150">
        <f>IF(NFI_Expiration=1,IF($A115&lt;VLOOKUP(J$5,NFI,5,0),1,0)*Data_NFI_t[[#This Row],[NFI Core Kit]],0)</f>
        <v>0</v>
      </c>
      <c r="V115" s="131">
        <f>IF(NFI_Expiration=1,IF($A115&lt;VLOOKUP(K$5,NFI,5,0),1,0)*Data_NFI_t[[#This Row],[Sanitary Kit]],0)</f>
        <v>0</v>
      </c>
      <c r="W115" s="131">
        <f>IF(NFI_Expiration=1,IF($A115&lt;VLOOKUP(L$5,NFI,5,0),1,0)*Data_NFI_t[[#This Row],[Mosquito net]],0)</f>
        <v>0</v>
      </c>
      <c r="X115" s="131">
        <f>IF(NFI_Expiration=1,IF($A115&lt;VLOOKUP(M$5,NFI,5,0),1,0)*Data_NFI_t[[#This Row],[Tarpaulin]],0)</f>
        <v>0</v>
      </c>
      <c r="Y115" s="131">
        <f>IF(NFI_Expiration=1,IF($A115&lt;VLOOKUP(N$5,NFI,5,0),1,0)*Data_NFI_t[[#This Row],[Blanket]],0)</f>
        <v>0</v>
      </c>
      <c r="Z115" s="131">
        <f>IF(NFI_Expiration=1,IF($A115&lt;VLOOKUP(O$5,NFI,5,0),1,0)*Data_NFI_t[[#This Row],[Kitchen Set]],0)</f>
        <v>0</v>
      </c>
      <c r="AA115" s="131">
        <f>IF(NFI_Expiration=1,IF($A115&lt;VLOOKUP(P$5,NFI,5,0),1,0)*Data_NFI_t[[#This Row],[Complementary Kit]],0)</f>
        <v>0</v>
      </c>
      <c r="AB115" s="131">
        <f>IF(NFI_Expiration=1,IF($A115&lt;VLOOKUP(Q$5,NFI,5,0),1,0)*Data_NFI_t[[#This Row],[Plastic Bucket]],0)</f>
        <v>0</v>
      </c>
      <c r="AC115" s="131">
        <f>IF(NFI_Expiration=1,IF($A115&lt;VLOOKUP(R$5,NFI,5,0),1,0)*Data_NFI_t[[#This Row],[Jerry Can]],0)</f>
        <v>0</v>
      </c>
      <c r="AD115" s="150">
        <f>IF(NFI_Expiration=1,IF($A115&lt;VLOOKUP(S$5,NFI,5,0),1,0)*Data_NFI_t[[#This Row],[Plastic Mat]],0)*IF(Data_NFI_t[[#This Row],[Distribution Date]]&gt;"01-04-2014",1,2.5)</f>
        <v>0</v>
      </c>
      <c r="AE115" s="150" t="str">
        <f ca="1">IFERROR(OFFSET(Camp_List[P_Code],MATCH(Data_NFI_t[[#This Row],[Camp Name]],Camp_List[Camp Name],0)-1,0,1,1),"")</f>
        <v>MMR012CMP025</v>
      </c>
      <c r="AF115" s="714" t="str">
        <f ca="1">IFERROR(OFFSET(Camp_List[Status],MATCH(Data_NFI_t[[#This Row],[Camp Name]],Camp_List[Camp Name],0)-1,0,1,1),"")</f>
        <v>Open</v>
      </c>
    </row>
    <row r="116" spans="1:32" s="102" customFormat="1" ht="15" customHeight="1" x14ac:dyDescent="0.25">
      <c r="A116" s="265">
        <f t="shared" si="1"/>
        <v>24.966666666666665</v>
      </c>
      <c r="B116" s="265">
        <f>YEAR(Data_NFI_t[[#This Row],[Distribution Date]])</f>
        <v>2013</v>
      </c>
      <c r="C116" s="738">
        <v>41590</v>
      </c>
      <c r="D116" s="655" t="s">
        <v>643</v>
      </c>
      <c r="E116" s="654" t="s">
        <v>643</v>
      </c>
      <c r="F116" s="655" t="s">
        <v>7</v>
      </c>
      <c r="G116" s="31" t="s">
        <v>19</v>
      </c>
      <c r="H116" s="31" t="s">
        <v>61</v>
      </c>
      <c r="I116" s="31"/>
      <c r="J116" s="61">
        <v>395</v>
      </c>
      <c r="K116" s="61"/>
      <c r="L116" s="61"/>
      <c r="M116" s="61"/>
      <c r="N116" s="61"/>
      <c r="O116" s="61"/>
      <c r="P116" s="61"/>
      <c r="Q116" s="61"/>
      <c r="R116" s="708"/>
      <c r="S116" s="61"/>
      <c r="T116" s="150">
        <f>IF(NFI_Expiration=1,IF($A116&lt;VLOOKUP(I$5,NFI,5,0),1,0)*Data_NFI_t[[#This Row],[Hygiene Kit]],0)</f>
        <v>0</v>
      </c>
      <c r="U116" s="150">
        <f>IF(NFI_Expiration=1,IF($A116&lt;VLOOKUP(J$5,NFI,5,0),1,0)*Data_NFI_t[[#This Row],[NFI Core Kit]],0)</f>
        <v>0</v>
      </c>
      <c r="V116" s="131">
        <f>IF(NFI_Expiration=1,IF($A116&lt;VLOOKUP(K$5,NFI,5,0),1,0)*Data_NFI_t[[#This Row],[Sanitary Kit]],0)</f>
        <v>0</v>
      </c>
      <c r="W116" s="131">
        <f>IF(NFI_Expiration=1,IF($A116&lt;VLOOKUP(L$5,NFI,5,0),1,0)*Data_NFI_t[[#This Row],[Mosquito net]],0)</f>
        <v>0</v>
      </c>
      <c r="X116" s="131">
        <f>IF(NFI_Expiration=1,IF($A116&lt;VLOOKUP(M$5,NFI,5,0),1,0)*Data_NFI_t[[#This Row],[Tarpaulin]],0)</f>
        <v>0</v>
      </c>
      <c r="Y116" s="131">
        <f>IF(NFI_Expiration=1,IF($A116&lt;VLOOKUP(N$5,NFI,5,0),1,0)*Data_NFI_t[[#This Row],[Blanket]],0)</f>
        <v>0</v>
      </c>
      <c r="Z116" s="131">
        <f>IF(NFI_Expiration=1,IF($A116&lt;VLOOKUP(O$5,NFI,5,0),1,0)*Data_NFI_t[[#This Row],[Kitchen Set]],0)</f>
        <v>0</v>
      </c>
      <c r="AA116" s="131">
        <f>IF(NFI_Expiration=1,IF($A116&lt;VLOOKUP(P$5,NFI,5,0),1,0)*Data_NFI_t[[#This Row],[Complementary Kit]],0)</f>
        <v>0</v>
      </c>
      <c r="AB116" s="131">
        <f>IF(NFI_Expiration=1,IF($A116&lt;VLOOKUP(Q$5,NFI,5,0),1,0)*Data_NFI_t[[#This Row],[Plastic Bucket]],0)</f>
        <v>0</v>
      </c>
      <c r="AC116" s="131">
        <f>IF(NFI_Expiration=1,IF($A116&lt;VLOOKUP(R$5,NFI,5,0),1,0)*Data_NFI_t[[#This Row],[Jerry Can]],0)</f>
        <v>0</v>
      </c>
      <c r="AD116" s="150">
        <f>IF(NFI_Expiration=1,IF($A116&lt;VLOOKUP(S$5,NFI,5,0),1,0)*Data_NFI_t[[#This Row],[Plastic Mat]],0)*IF(Data_NFI_t[[#This Row],[Distribution Date]]&gt;"01-04-2014",1,2.5)</f>
        <v>0</v>
      </c>
      <c r="AE116" s="150" t="str">
        <f ca="1">IFERROR(OFFSET(Camp_List[P_Code],MATCH(Data_NFI_t[[#This Row],[Camp Name]],Camp_List[Camp Name],0)-1,0,1,1),"")</f>
        <v>MMR012CMP039</v>
      </c>
      <c r="AF116" s="714" t="str">
        <f ca="1">IFERROR(OFFSET(Camp_List[Status],MATCH(Data_NFI_t[[#This Row],[Camp Name]],Camp_List[Camp Name],0)-1,0,1,1),"")</f>
        <v>Open</v>
      </c>
    </row>
    <row r="117" spans="1:32" s="102" customFormat="1" ht="15" customHeight="1" x14ac:dyDescent="0.25">
      <c r="A117" s="265">
        <f t="shared" si="1"/>
        <v>24.966666666666665</v>
      </c>
      <c r="B117" s="265">
        <f>YEAR(Data_NFI_t[[#This Row],[Distribution Date]])</f>
        <v>2013</v>
      </c>
      <c r="C117" s="738">
        <v>41590</v>
      </c>
      <c r="D117" s="655" t="s">
        <v>288</v>
      </c>
      <c r="E117" s="654" t="s">
        <v>288</v>
      </c>
      <c r="F117" s="655" t="s">
        <v>7</v>
      </c>
      <c r="G117" s="31" t="s">
        <v>15</v>
      </c>
      <c r="H117" s="31" t="s">
        <v>54</v>
      </c>
      <c r="I117" s="31">
        <v>220</v>
      </c>
      <c r="J117" s="61"/>
      <c r="K117" s="61"/>
      <c r="L117" s="61"/>
      <c r="M117" s="61"/>
      <c r="N117" s="61"/>
      <c r="O117" s="61"/>
      <c r="P117" s="61"/>
      <c r="Q117" s="61"/>
      <c r="R117" s="708"/>
      <c r="S117" s="61"/>
      <c r="T117" s="150">
        <f>IF(NFI_Expiration=1,IF($A117&lt;VLOOKUP(I$5,NFI,5,0),1,0)*Data_NFI_t[[#This Row],[Hygiene Kit]],0)</f>
        <v>0</v>
      </c>
      <c r="U117" s="150">
        <f>IF(NFI_Expiration=1,IF($A117&lt;VLOOKUP(J$5,NFI,5,0),1,0)*Data_NFI_t[[#This Row],[NFI Core Kit]],0)</f>
        <v>0</v>
      </c>
      <c r="V117" s="131">
        <f>IF(NFI_Expiration=1,IF($A117&lt;VLOOKUP(K$5,NFI,5,0),1,0)*Data_NFI_t[[#This Row],[Sanitary Kit]],0)</f>
        <v>0</v>
      </c>
      <c r="W117" s="131">
        <f>IF(NFI_Expiration=1,IF($A117&lt;VLOOKUP(L$5,NFI,5,0),1,0)*Data_NFI_t[[#This Row],[Mosquito net]],0)</f>
        <v>0</v>
      </c>
      <c r="X117" s="131">
        <f>IF(NFI_Expiration=1,IF($A117&lt;VLOOKUP(M$5,NFI,5,0),1,0)*Data_NFI_t[[#This Row],[Tarpaulin]],0)</f>
        <v>0</v>
      </c>
      <c r="Y117" s="131">
        <f>IF(NFI_Expiration=1,IF($A117&lt;VLOOKUP(N$5,NFI,5,0),1,0)*Data_NFI_t[[#This Row],[Blanket]],0)</f>
        <v>0</v>
      </c>
      <c r="Z117" s="131">
        <f>IF(NFI_Expiration=1,IF($A117&lt;VLOOKUP(O$5,NFI,5,0),1,0)*Data_NFI_t[[#This Row],[Kitchen Set]],0)</f>
        <v>0</v>
      </c>
      <c r="AA117" s="131">
        <f>IF(NFI_Expiration=1,IF($A117&lt;VLOOKUP(P$5,NFI,5,0),1,0)*Data_NFI_t[[#This Row],[Complementary Kit]],0)</f>
        <v>0</v>
      </c>
      <c r="AB117" s="131">
        <f>IF(NFI_Expiration=1,IF($A117&lt;VLOOKUP(Q$5,NFI,5,0),1,0)*Data_NFI_t[[#This Row],[Plastic Bucket]],0)</f>
        <v>0</v>
      </c>
      <c r="AC117" s="131">
        <f>IF(NFI_Expiration=1,IF($A117&lt;VLOOKUP(R$5,NFI,5,0),1,0)*Data_NFI_t[[#This Row],[Jerry Can]],0)</f>
        <v>0</v>
      </c>
      <c r="AD117" s="150">
        <f>IF(NFI_Expiration=1,IF($A117&lt;VLOOKUP(S$5,NFI,5,0),1,0)*Data_NFI_t[[#This Row],[Plastic Mat]],0)*IF(Data_NFI_t[[#This Row],[Distribution Date]]&gt;"01-04-2014",1,2.5)</f>
        <v>0</v>
      </c>
      <c r="AE117" s="150" t="str">
        <f ca="1">IFERROR(OFFSET(Camp_List[P_Code],MATCH(Data_NFI_t[[#This Row],[Camp Name]],Camp_List[Camp Name],0)-1,0,1,1),"")</f>
        <v>MMR012CMP030</v>
      </c>
      <c r="AF117" s="714" t="str">
        <f ca="1">IFERROR(OFFSET(Camp_List[Status],MATCH(Data_NFI_t[[#This Row],[Camp Name]],Camp_List[Camp Name],0)-1,0,1,1),"")</f>
        <v>Open</v>
      </c>
    </row>
    <row r="118" spans="1:32" s="102" customFormat="1" ht="15" customHeight="1" x14ac:dyDescent="0.25">
      <c r="A118" s="265">
        <f t="shared" si="1"/>
        <v>24.966666666666665</v>
      </c>
      <c r="B118" s="265">
        <f>YEAR(Data_NFI_t[[#This Row],[Distribution Date]])</f>
        <v>2013</v>
      </c>
      <c r="C118" s="738">
        <v>41590</v>
      </c>
      <c r="D118" s="655" t="s">
        <v>288</v>
      </c>
      <c r="E118" s="654" t="s">
        <v>288</v>
      </c>
      <c r="F118" s="655" t="s">
        <v>7</v>
      </c>
      <c r="G118" s="31" t="s">
        <v>15</v>
      </c>
      <c r="H118" s="31" t="s">
        <v>45</v>
      </c>
      <c r="I118" s="31">
        <v>250</v>
      </c>
      <c r="J118" s="61"/>
      <c r="K118" s="61"/>
      <c r="L118" s="61"/>
      <c r="M118" s="61"/>
      <c r="N118" s="61"/>
      <c r="O118" s="61"/>
      <c r="P118" s="61"/>
      <c r="Q118" s="61"/>
      <c r="R118" s="708"/>
      <c r="S118" s="61"/>
      <c r="T118" s="150">
        <f>IF(NFI_Expiration=1,IF($A118&lt;VLOOKUP(I$5,NFI,5,0),1,0)*Data_NFI_t[[#This Row],[Hygiene Kit]],0)</f>
        <v>0</v>
      </c>
      <c r="U118" s="150">
        <f>IF(NFI_Expiration=1,IF($A118&lt;VLOOKUP(J$5,NFI,5,0),1,0)*Data_NFI_t[[#This Row],[NFI Core Kit]],0)</f>
        <v>0</v>
      </c>
      <c r="V118" s="131">
        <f>IF(NFI_Expiration=1,IF($A118&lt;VLOOKUP(K$5,NFI,5,0),1,0)*Data_NFI_t[[#This Row],[Sanitary Kit]],0)</f>
        <v>0</v>
      </c>
      <c r="W118" s="131">
        <f>IF(NFI_Expiration=1,IF($A118&lt;VLOOKUP(L$5,NFI,5,0),1,0)*Data_NFI_t[[#This Row],[Mosquito net]],0)</f>
        <v>0</v>
      </c>
      <c r="X118" s="131">
        <f>IF(NFI_Expiration=1,IF($A118&lt;VLOOKUP(M$5,NFI,5,0),1,0)*Data_NFI_t[[#This Row],[Tarpaulin]],0)</f>
        <v>0</v>
      </c>
      <c r="Y118" s="131">
        <f>IF(NFI_Expiration=1,IF($A118&lt;VLOOKUP(N$5,NFI,5,0),1,0)*Data_NFI_t[[#This Row],[Blanket]],0)</f>
        <v>0</v>
      </c>
      <c r="Z118" s="131">
        <f>IF(NFI_Expiration=1,IF($A118&lt;VLOOKUP(O$5,NFI,5,0),1,0)*Data_NFI_t[[#This Row],[Kitchen Set]],0)</f>
        <v>0</v>
      </c>
      <c r="AA118" s="131">
        <f>IF(NFI_Expiration=1,IF($A118&lt;VLOOKUP(P$5,NFI,5,0),1,0)*Data_NFI_t[[#This Row],[Complementary Kit]],0)</f>
        <v>0</v>
      </c>
      <c r="AB118" s="131">
        <f>IF(NFI_Expiration=1,IF($A118&lt;VLOOKUP(Q$5,NFI,5,0),1,0)*Data_NFI_t[[#This Row],[Plastic Bucket]],0)</f>
        <v>0</v>
      </c>
      <c r="AC118" s="131">
        <f>IF(NFI_Expiration=1,IF($A118&lt;VLOOKUP(R$5,NFI,5,0),1,0)*Data_NFI_t[[#This Row],[Jerry Can]],0)</f>
        <v>0</v>
      </c>
      <c r="AD118" s="150">
        <f>IF(NFI_Expiration=1,IF($A118&lt;VLOOKUP(S$5,NFI,5,0),1,0)*Data_NFI_t[[#This Row],[Plastic Mat]],0)*IF(Data_NFI_t[[#This Row],[Distribution Date]]&gt;"01-04-2014",1,2.5)</f>
        <v>0</v>
      </c>
      <c r="AE118" s="150" t="str">
        <f ca="1">IFERROR(OFFSET(Camp_List[P_Code],MATCH(Data_NFI_t[[#This Row],[Camp Name]],Camp_List[Camp Name],0)-1,0,1,1),"")</f>
        <v>MMR012CMP021</v>
      </c>
      <c r="AF118" s="714" t="str">
        <f ca="1">IFERROR(OFFSET(Camp_List[Status],MATCH(Data_NFI_t[[#This Row],[Camp Name]],Camp_List[Camp Name],0)-1,0,1,1),"")</f>
        <v>Open</v>
      </c>
    </row>
    <row r="119" spans="1:32" s="102" customFormat="1" ht="15" customHeight="1" x14ac:dyDescent="0.25">
      <c r="A119" s="265">
        <f t="shared" si="1"/>
        <v>25.366666666666667</v>
      </c>
      <c r="B119" s="265">
        <f>YEAR(Data_NFI_t[[#This Row],[Distribution Date]])</f>
        <v>2013</v>
      </c>
      <c r="C119" s="738">
        <v>41578</v>
      </c>
      <c r="D119" s="655" t="s">
        <v>288</v>
      </c>
      <c r="E119" s="654" t="s">
        <v>288</v>
      </c>
      <c r="F119" s="655" t="s">
        <v>7</v>
      </c>
      <c r="G119" s="31" t="s">
        <v>15</v>
      </c>
      <c r="H119" s="31" t="s">
        <v>51</v>
      </c>
      <c r="I119" s="31">
        <v>280</v>
      </c>
      <c r="J119" s="61"/>
      <c r="K119" s="61"/>
      <c r="L119" s="61"/>
      <c r="M119" s="61"/>
      <c r="N119" s="61"/>
      <c r="O119" s="61"/>
      <c r="P119" s="61"/>
      <c r="Q119" s="61"/>
      <c r="R119" s="708"/>
      <c r="S119" s="61"/>
      <c r="T119" s="150">
        <f>IF(NFI_Expiration=1,IF($A119&lt;VLOOKUP(I$5,NFI,5,0),1,0)*Data_NFI_t[[#This Row],[Hygiene Kit]],0)</f>
        <v>0</v>
      </c>
      <c r="U119" s="150">
        <f>IF(NFI_Expiration=1,IF($A119&lt;VLOOKUP(J$5,NFI,5,0),1,0)*Data_NFI_t[[#This Row],[NFI Core Kit]],0)</f>
        <v>0</v>
      </c>
      <c r="V119" s="131">
        <f>IF(NFI_Expiration=1,IF($A119&lt;VLOOKUP(K$5,NFI,5,0),1,0)*Data_NFI_t[[#This Row],[Sanitary Kit]],0)</f>
        <v>0</v>
      </c>
      <c r="W119" s="131">
        <f>IF(NFI_Expiration=1,IF($A119&lt;VLOOKUP(L$5,NFI,5,0),1,0)*Data_NFI_t[[#This Row],[Mosquito net]],0)</f>
        <v>0</v>
      </c>
      <c r="X119" s="131">
        <f>IF(NFI_Expiration=1,IF($A119&lt;VLOOKUP(M$5,NFI,5,0),1,0)*Data_NFI_t[[#This Row],[Tarpaulin]],0)</f>
        <v>0</v>
      </c>
      <c r="Y119" s="131">
        <f>IF(NFI_Expiration=1,IF($A119&lt;VLOOKUP(N$5,NFI,5,0),1,0)*Data_NFI_t[[#This Row],[Blanket]],0)</f>
        <v>0</v>
      </c>
      <c r="Z119" s="131">
        <f>IF(NFI_Expiration=1,IF($A119&lt;VLOOKUP(O$5,NFI,5,0),1,0)*Data_NFI_t[[#This Row],[Kitchen Set]],0)</f>
        <v>0</v>
      </c>
      <c r="AA119" s="131">
        <f>IF(NFI_Expiration=1,IF($A119&lt;VLOOKUP(P$5,NFI,5,0),1,0)*Data_NFI_t[[#This Row],[Complementary Kit]],0)</f>
        <v>0</v>
      </c>
      <c r="AB119" s="131">
        <f>IF(NFI_Expiration=1,IF($A119&lt;VLOOKUP(Q$5,NFI,5,0),1,0)*Data_NFI_t[[#This Row],[Plastic Bucket]],0)</f>
        <v>0</v>
      </c>
      <c r="AC119" s="131">
        <f>IF(NFI_Expiration=1,IF($A119&lt;VLOOKUP(R$5,NFI,5,0),1,0)*Data_NFI_t[[#This Row],[Jerry Can]],0)</f>
        <v>0</v>
      </c>
      <c r="AD119" s="150">
        <f>IF(NFI_Expiration=1,IF($A119&lt;VLOOKUP(S$5,NFI,5,0),1,0)*Data_NFI_t[[#This Row],[Plastic Mat]],0)*IF(Data_NFI_t[[#This Row],[Distribution Date]]&gt;"01-04-2014",1,2.5)</f>
        <v>0</v>
      </c>
      <c r="AE119" s="150" t="str">
        <f ca="1">IFERROR(OFFSET(Camp_List[P_Code],MATCH(Data_NFI_t[[#This Row],[Camp Name]],Camp_List[Camp Name],0)-1,0,1,1),"")</f>
        <v>MMR012CMP027</v>
      </c>
      <c r="AF119" s="714" t="str">
        <f ca="1">IFERROR(OFFSET(Camp_List[Status],MATCH(Data_NFI_t[[#This Row],[Camp Name]],Camp_List[Camp Name],0)-1,0,1,1),"")</f>
        <v>Open</v>
      </c>
    </row>
    <row r="120" spans="1:32" s="102" customFormat="1" ht="15" customHeight="1" x14ac:dyDescent="0.25">
      <c r="A120" s="265">
        <f t="shared" si="1"/>
        <v>25.366666666666667</v>
      </c>
      <c r="B120" s="265">
        <f>YEAR(Data_NFI_t[[#This Row],[Distribution Date]])</f>
        <v>2013</v>
      </c>
      <c r="C120" s="738">
        <v>41578</v>
      </c>
      <c r="D120" s="655" t="s">
        <v>288</v>
      </c>
      <c r="E120" s="654" t="s">
        <v>288</v>
      </c>
      <c r="F120" s="655" t="s">
        <v>7</v>
      </c>
      <c r="G120" s="31" t="s">
        <v>15</v>
      </c>
      <c r="H120" s="31" t="s">
        <v>50</v>
      </c>
      <c r="I120" s="31">
        <v>380</v>
      </c>
      <c r="J120" s="61"/>
      <c r="K120" s="61"/>
      <c r="L120" s="61"/>
      <c r="M120" s="61"/>
      <c r="N120" s="61"/>
      <c r="O120" s="61"/>
      <c r="P120" s="61"/>
      <c r="Q120" s="61"/>
      <c r="R120" s="708"/>
      <c r="S120" s="61"/>
      <c r="T120" s="150">
        <f>IF(NFI_Expiration=1,IF($A120&lt;VLOOKUP(I$5,NFI,5,0),1,0)*Data_NFI_t[[#This Row],[Hygiene Kit]],0)</f>
        <v>0</v>
      </c>
      <c r="U120" s="150">
        <f>IF(NFI_Expiration=1,IF($A120&lt;VLOOKUP(J$5,NFI,5,0),1,0)*Data_NFI_t[[#This Row],[NFI Core Kit]],0)</f>
        <v>0</v>
      </c>
      <c r="V120" s="131">
        <f>IF(NFI_Expiration=1,IF($A120&lt;VLOOKUP(K$5,NFI,5,0),1,0)*Data_NFI_t[[#This Row],[Sanitary Kit]],0)</f>
        <v>0</v>
      </c>
      <c r="W120" s="131">
        <f>IF(NFI_Expiration=1,IF($A120&lt;VLOOKUP(L$5,NFI,5,0),1,0)*Data_NFI_t[[#This Row],[Mosquito net]],0)</f>
        <v>0</v>
      </c>
      <c r="X120" s="131">
        <f>IF(NFI_Expiration=1,IF($A120&lt;VLOOKUP(M$5,NFI,5,0),1,0)*Data_NFI_t[[#This Row],[Tarpaulin]],0)</f>
        <v>0</v>
      </c>
      <c r="Y120" s="131">
        <f>IF(NFI_Expiration=1,IF($A120&lt;VLOOKUP(N$5,NFI,5,0),1,0)*Data_NFI_t[[#This Row],[Blanket]],0)</f>
        <v>0</v>
      </c>
      <c r="Z120" s="131">
        <f>IF(NFI_Expiration=1,IF($A120&lt;VLOOKUP(O$5,NFI,5,0),1,0)*Data_NFI_t[[#This Row],[Kitchen Set]],0)</f>
        <v>0</v>
      </c>
      <c r="AA120" s="131">
        <f>IF(NFI_Expiration=1,IF($A120&lt;VLOOKUP(P$5,NFI,5,0),1,0)*Data_NFI_t[[#This Row],[Complementary Kit]],0)</f>
        <v>0</v>
      </c>
      <c r="AB120" s="131">
        <f>IF(NFI_Expiration=1,IF($A120&lt;VLOOKUP(Q$5,NFI,5,0),1,0)*Data_NFI_t[[#This Row],[Plastic Bucket]],0)</f>
        <v>0</v>
      </c>
      <c r="AC120" s="131">
        <f>IF(NFI_Expiration=1,IF($A120&lt;VLOOKUP(R$5,NFI,5,0),1,0)*Data_NFI_t[[#This Row],[Jerry Can]],0)</f>
        <v>0</v>
      </c>
      <c r="AD120" s="150">
        <f>IF(NFI_Expiration=1,IF($A120&lt;VLOOKUP(S$5,NFI,5,0),1,0)*Data_NFI_t[[#This Row],[Plastic Mat]],0)*IF(Data_NFI_t[[#This Row],[Distribution Date]]&gt;"01-04-2014",1,2.5)</f>
        <v>0</v>
      </c>
      <c r="AE120" s="150" t="str">
        <f ca="1">IFERROR(OFFSET(Camp_List[P_Code],MATCH(Data_NFI_t[[#This Row],[Camp Name]],Camp_List[Camp Name],0)-1,0,1,1),"")</f>
        <v>MMR012CMP026</v>
      </c>
      <c r="AF120" s="714" t="str">
        <f ca="1">IFERROR(OFFSET(Camp_List[Status],MATCH(Data_NFI_t[[#This Row],[Camp Name]],Camp_List[Camp Name],0)-1,0,1,1),"")</f>
        <v>Open</v>
      </c>
    </row>
    <row r="121" spans="1:32" s="102" customFormat="1" ht="15" customHeight="1" x14ac:dyDescent="0.25">
      <c r="A121" s="265">
        <f t="shared" si="1"/>
        <v>25.466666666666665</v>
      </c>
      <c r="B121" s="265">
        <f>YEAR(Data_NFI_t[[#This Row],[Distribution Date]])</f>
        <v>2013</v>
      </c>
      <c r="C121" s="738">
        <v>41575</v>
      </c>
      <c r="D121" s="655" t="s">
        <v>288</v>
      </c>
      <c r="E121" s="654" t="s">
        <v>288</v>
      </c>
      <c r="F121" s="655" t="s">
        <v>7</v>
      </c>
      <c r="G121" s="31" t="s">
        <v>15</v>
      </c>
      <c r="H121" s="31" t="s">
        <v>48</v>
      </c>
      <c r="I121" s="31">
        <v>230</v>
      </c>
      <c r="J121" s="61"/>
      <c r="K121" s="61"/>
      <c r="L121" s="61"/>
      <c r="M121" s="61"/>
      <c r="N121" s="61"/>
      <c r="O121" s="61"/>
      <c r="P121" s="61"/>
      <c r="Q121" s="61"/>
      <c r="R121" s="708"/>
      <c r="S121" s="61"/>
      <c r="T121" s="150">
        <f>IF(NFI_Expiration=1,IF($A121&lt;VLOOKUP(I$5,NFI,5,0),1,0)*Data_NFI_t[[#This Row],[Hygiene Kit]],0)</f>
        <v>0</v>
      </c>
      <c r="U121" s="150">
        <f>IF(NFI_Expiration=1,IF($A121&lt;VLOOKUP(J$5,NFI,5,0),1,0)*Data_NFI_t[[#This Row],[NFI Core Kit]],0)</f>
        <v>0</v>
      </c>
      <c r="V121" s="131">
        <f>IF(NFI_Expiration=1,IF($A121&lt;VLOOKUP(K$5,NFI,5,0),1,0)*Data_NFI_t[[#This Row],[Sanitary Kit]],0)</f>
        <v>0</v>
      </c>
      <c r="W121" s="131">
        <f>IF(NFI_Expiration=1,IF($A121&lt;VLOOKUP(L$5,NFI,5,0),1,0)*Data_NFI_t[[#This Row],[Mosquito net]],0)</f>
        <v>0</v>
      </c>
      <c r="X121" s="131">
        <f>IF(NFI_Expiration=1,IF($A121&lt;VLOOKUP(M$5,NFI,5,0),1,0)*Data_NFI_t[[#This Row],[Tarpaulin]],0)</f>
        <v>0</v>
      </c>
      <c r="Y121" s="131">
        <f>IF(NFI_Expiration=1,IF($A121&lt;VLOOKUP(N$5,NFI,5,0),1,0)*Data_NFI_t[[#This Row],[Blanket]],0)</f>
        <v>0</v>
      </c>
      <c r="Z121" s="131">
        <f>IF(NFI_Expiration=1,IF($A121&lt;VLOOKUP(O$5,NFI,5,0),1,0)*Data_NFI_t[[#This Row],[Kitchen Set]],0)</f>
        <v>0</v>
      </c>
      <c r="AA121" s="131">
        <f>IF(NFI_Expiration=1,IF($A121&lt;VLOOKUP(P$5,NFI,5,0),1,0)*Data_NFI_t[[#This Row],[Complementary Kit]],0)</f>
        <v>0</v>
      </c>
      <c r="AB121" s="131">
        <f>IF(NFI_Expiration=1,IF($A121&lt;VLOOKUP(Q$5,NFI,5,0),1,0)*Data_NFI_t[[#This Row],[Plastic Bucket]],0)</f>
        <v>0</v>
      </c>
      <c r="AC121" s="131">
        <f>IF(NFI_Expiration=1,IF($A121&lt;VLOOKUP(R$5,NFI,5,0),1,0)*Data_NFI_t[[#This Row],[Jerry Can]],0)</f>
        <v>0</v>
      </c>
      <c r="AD121" s="150">
        <f>IF(NFI_Expiration=1,IF($A121&lt;VLOOKUP(S$5,NFI,5,0),1,0)*Data_NFI_t[[#This Row],[Plastic Mat]],0)*IF(Data_NFI_t[[#This Row],[Distribution Date]]&gt;"01-04-2014",1,2.5)</f>
        <v>0</v>
      </c>
      <c r="AE121" s="150" t="str">
        <f ca="1">IFERROR(OFFSET(Camp_List[P_Code],MATCH(Data_NFI_t[[#This Row],[Camp Name]],Camp_List[Camp Name],0)-1,0,1,1),"")</f>
        <v>MMR012CMP024</v>
      </c>
      <c r="AF121" s="714" t="str">
        <f ca="1">IFERROR(OFFSET(Camp_List[Status],MATCH(Data_NFI_t[[#This Row],[Camp Name]],Camp_List[Camp Name],0)-1,0,1,1),"")</f>
        <v>Open</v>
      </c>
    </row>
    <row r="122" spans="1:32" s="102" customFormat="1" ht="15" customHeight="1" x14ac:dyDescent="0.25">
      <c r="A122" s="265">
        <f t="shared" si="1"/>
        <v>25.466666666666665</v>
      </c>
      <c r="B122" s="265">
        <f>YEAR(Data_NFI_t[[#This Row],[Distribution Date]])</f>
        <v>2013</v>
      </c>
      <c r="C122" s="738">
        <v>41575</v>
      </c>
      <c r="D122" s="655" t="s">
        <v>288</v>
      </c>
      <c r="E122" s="654" t="s">
        <v>288</v>
      </c>
      <c r="F122" s="655" t="s">
        <v>7</v>
      </c>
      <c r="G122" s="31" t="s">
        <v>15</v>
      </c>
      <c r="H122" s="31" t="s">
        <v>52</v>
      </c>
      <c r="I122" s="31">
        <v>300</v>
      </c>
      <c r="J122" s="61"/>
      <c r="K122" s="61"/>
      <c r="L122" s="61"/>
      <c r="M122" s="61"/>
      <c r="N122" s="61"/>
      <c r="O122" s="61"/>
      <c r="P122" s="61"/>
      <c r="Q122" s="61"/>
      <c r="R122" s="708"/>
      <c r="S122" s="61"/>
      <c r="T122" s="150">
        <f>IF(NFI_Expiration=1,IF($A122&lt;VLOOKUP(I$5,NFI,5,0),1,0)*Data_NFI_t[[#This Row],[Hygiene Kit]],0)</f>
        <v>0</v>
      </c>
      <c r="U122" s="150">
        <f>IF(NFI_Expiration=1,IF($A122&lt;VLOOKUP(J$5,NFI,5,0),1,0)*Data_NFI_t[[#This Row],[NFI Core Kit]],0)</f>
        <v>0</v>
      </c>
      <c r="V122" s="131">
        <f>IF(NFI_Expiration=1,IF($A122&lt;VLOOKUP(K$5,NFI,5,0),1,0)*Data_NFI_t[[#This Row],[Sanitary Kit]],0)</f>
        <v>0</v>
      </c>
      <c r="W122" s="131">
        <f>IF(NFI_Expiration=1,IF($A122&lt;VLOOKUP(L$5,NFI,5,0),1,0)*Data_NFI_t[[#This Row],[Mosquito net]],0)</f>
        <v>0</v>
      </c>
      <c r="X122" s="131">
        <f>IF(NFI_Expiration=1,IF($A122&lt;VLOOKUP(M$5,NFI,5,0),1,0)*Data_NFI_t[[#This Row],[Tarpaulin]],0)</f>
        <v>0</v>
      </c>
      <c r="Y122" s="131">
        <f>IF(NFI_Expiration=1,IF($A122&lt;VLOOKUP(N$5,NFI,5,0),1,0)*Data_NFI_t[[#This Row],[Blanket]],0)</f>
        <v>0</v>
      </c>
      <c r="Z122" s="131">
        <f>IF(NFI_Expiration=1,IF($A122&lt;VLOOKUP(O$5,NFI,5,0),1,0)*Data_NFI_t[[#This Row],[Kitchen Set]],0)</f>
        <v>0</v>
      </c>
      <c r="AA122" s="131">
        <f>IF(NFI_Expiration=1,IF($A122&lt;VLOOKUP(P$5,NFI,5,0),1,0)*Data_NFI_t[[#This Row],[Complementary Kit]],0)</f>
        <v>0</v>
      </c>
      <c r="AB122" s="131">
        <f>IF(NFI_Expiration=1,IF($A122&lt;VLOOKUP(Q$5,NFI,5,0),1,0)*Data_NFI_t[[#This Row],[Plastic Bucket]],0)</f>
        <v>0</v>
      </c>
      <c r="AC122" s="131">
        <f>IF(NFI_Expiration=1,IF($A122&lt;VLOOKUP(R$5,NFI,5,0),1,0)*Data_NFI_t[[#This Row],[Jerry Can]],0)</f>
        <v>0</v>
      </c>
      <c r="AD122" s="150">
        <f>IF(NFI_Expiration=1,IF($A122&lt;VLOOKUP(S$5,NFI,5,0),1,0)*Data_NFI_t[[#This Row],[Plastic Mat]],0)*IF(Data_NFI_t[[#This Row],[Distribution Date]]&gt;"01-04-2014",1,2.5)</f>
        <v>0</v>
      </c>
      <c r="AE122" s="150" t="str">
        <f ca="1">IFERROR(OFFSET(Camp_List[P_Code],MATCH(Data_NFI_t[[#This Row],[Camp Name]],Camp_List[Camp Name],0)-1,0,1,1),"")</f>
        <v>MMR012CMP028</v>
      </c>
      <c r="AF122" s="714" t="str">
        <f ca="1">IFERROR(OFFSET(Camp_List[Status],MATCH(Data_NFI_t[[#This Row],[Camp Name]],Camp_List[Camp Name],0)-1,0,1,1),"")</f>
        <v>Open</v>
      </c>
    </row>
    <row r="123" spans="1:32" s="102" customFormat="1" ht="15" customHeight="1" x14ac:dyDescent="0.25">
      <c r="A123" s="265">
        <f t="shared" si="1"/>
        <v>25.666666666666668</v>
      </c>
      <c r="B123" s="265">
        <f>YEAR(Data_NFI_t[[#This Row],[Distribution Date]])</f>
        <v>2013</v>
      </c>
      <c r="C123" s="738">
        <v>41569</v>
      </c>
      <c r="D123" s="655" t="s">
        <v>288</v>
      </c>
      <c r="E123" s="654" t="s">
        <v>288</v>
      </c>
      <c r="F123" s="655" t="s">
        <v>7</v>
      </c>
      <c r="G123" s="31" t="s">
        <v>19</v>
      </c>
      <c r="H123" s="31" t="s">
        <v>78</v>
      </c>
      <c r="I123" s="31"/>
      <c r="J123" s="61"/>
      <c r="K123" s="61"/>
      <c r="L123" s="61"/>
      <c r="M123" s="61"/>
      <c r="N123" s="61"/>
      <c r="O123" s="61"/>
      <c r="P123" s="61">
        <v>250</v>
      </c>
      <c r="Q123" s="61"/>
      <c r="R123" s="708"/>
      <c r="S123" s="61"/>
      <c r="T123" s="150">
        <f>IF(NFI_Expiration=1,IF($A123&lt;VLOOKUP(I$5,NFI,5,0),1,0)*Data_NFI_t[[#This Row],[Hygiene Kit]],0)</f>
        <v>0</v>
      </c>
      <c r="U123" s="150">
        <f>IF(NFI_Expiration=1,IF($A123&lt;VLOOKUP(J$5,NFI,5,0),1,0)*Data_NFI_t[[#This Row],[NFI Core Kit]],0)</f>
        <v>0</v>
      </c>
      <c r="V123" s="131">
        <f>IF(NFI_Expiration=1,IF($A123&lt;VLOOKUP(K$5,NFI,5,0),1,0)*Data_NFI_t[[#This Row],[Sanitary Kit]],0)</f>
        <v>0</v>
      </c>
      <c r="W123" s="131">
        <f>IF(NFI_Expiration=1,IF($A123&lt;VLOOKUP(L$5,NFI,5,0),1,0)*Data_NFI_t[[#This Row],[Mosquito net]],0)</f>
        <v>0</v>
      </c>
      <c r="X123" s="131">
        <f>IF(NFI_Expiration=1,IF($A123&lt;VLOOKUP(M$5,NFI,5,0),1,0)*Data_NFI_t[[#This Row],[Tarpaulin]],0)</f>
        <v>0</v>
      </c>
      <c r="Y123" s="131">
        <f>IF(NFI_Expiration=1,IF($A123&lt;VLOOKUP(N$5,NFI,5,0),1,0)*Data_NFI_t[[#This Row],[Blanket]],0)</f>
        <v>0</v>
      </c>
      <c r="Z123" s="131">
        <f>IF(NFI_Expiration=1,IF($A123&lt;VLOOKUP(O$5,NFI,5,0),1,0)*Data_NFI_t[[#This Row],[Kitchen Set]],0)</f>
        <v>0</v>
      </c>
      <c r="AA123" s="131">
        <f>IF(NFI_Expiration=1,IF($A123&lt;VLOOKUP(P$5,NFI,5,0),1,0)*Data_NFI_t[[#This Row],[Complementary Kit]],0)</f>
        <v>0</v>
      </c>
      <c r="AB123" s="131">
        <f>IF(NFI_Expiration=1,IF($A123&lt;VLOOKUP(Q$5,NFI,5,0),1,0)*Data_NFI_t[[#This Row],[Plastic Bucket]],0)</f>
        <v>0</v>
      </c>
      <c r="AC123" s="131">
        <f>IF(NFI_Expiration=1,IF($A123&lt;VLOOKUP(R$5,NFI,5,0),1,0)*Data_NFI_t[[#This Row],[Jerry Can]],0)</f>
        <v>0</v>
      </c>
      <c r="AD123" s="150">
        <f>IF(NFI_Expiration=1,IF($A123&lt;VLOOKUP(S$5,NFI,5,0),1,0)*Data_NFI_t[[#This Row],[Plastic Mat]],0)*IF(Data_NFI_t[[#This Row],[Distribution Date]]&gt;"01-04-2014",1,2.5)</f>
        <v>0</v>
      </c>
      <c r="AE123" s="150" t="str">
        <f ca="1">IFERROR(OFFSET(Camp_List[P_Code],MATCH(Data_NFI_t[[#This Row],[Camp Name]],Camp_List[Camp Name],0)-1,0,1,1),"")</f>
        <v>MMR012CMP056</v>
      </c>
      <c r="AF123" s="714" t="str">
        <f ca="1">IFERROR(OFFSET(Camp_List[Status],MATCH(Data_NFI_t[[#This Row],[Camp Name]],Camp_List[Camp Name],0)-1,0,1,1),"")</f>
        <v>Open</v>
      </c>
    </row>
    <row r="124" spans="1:32" s="102" customFormat="1" ht="15" customHeight="1" x14ac:dyDescent="0.25">
      <c r="A124" s="265">
        <f t="shared" si="1"/>
        <v>25.8</v>
      </c>
      <c r="B124" s="265">
        <f>YEAR(Data_NFI_t[[#This Row],[Distribution Date]])</f>
        <v>2013</v>
      </c>
      <c r="C124" s="738">
        <v>41565</v>
      </c>
      <c r="D124" s="655" t="s">
        <v>643</v>
      </c>
      <c r="E124" s="654" t="s">
        <v>643</v>
      </c>
      <c r="F124" s="655" t="s">
        <v>7</v>
      </c>
      <c r="G124" s="31" t="s">
        <v>19</v>
      </c>
      <c r="H124" s="31" t="s">
        <v>656</v>
      </c>
      <c r="I124" s="31"/>
      <c r="J124" s="61">
        <v>948</v>
      </c>
      <c r="K124" s="61"/>
      <c r="L124" s="61"/>
      <c r="M124" s="61"/>
      <c r="N124" s="61"/>
      <c r="O124" s="61"/>
      <c r="P124" s="61"/>
      <c r="Q124" s="61"/>
      <c r="R124" s="708"/>
      <c r="S124" s="61"/>
      <c r="T124" s="150">
        <f>IF(NFI_Expiration=1,IF($A124&lt;VLOOKUP(I$5,NFI,5,0),1,0)*Data_NFI_t[[#This Row],[Hygiene Kit]],0)</f>
        <v>0</v>
      </c>
      <c r="U124" s="150">
        <f>IF(NFI_Expiration=1,IF($A124&lt;VLOOKUP(J$5,NFI,5,0),1,0)*Data_NFI_t[[#This Row],[NFI Core Kit]],0)</f>
        <v>0</v>
      </c>
      <c r="V124" s="131">
        <f>IF(NFI_Expiration=1,IF($A124&lt;VLOOKUP(K$5,NFI,5,0),1,0)*Data_NFI_t[[#This Row],[Sanitary Kit]],0)</f>
        <v>0</v>
      </c>
      <c r="W124" s="131">
        <f>IF(NFI_Expiration=1,IF($A124&lt;VLOOKUP(L$5,NFI,5,0),1,0)*Data_NFI_t[[#This Row],[Mosquito net]],0)</f>
        <v>0</v>
      </c>
      <c r="X124" s="131">
        <f>IF(NFI_Expiration=1,IF($A124&lt;VLOOKUP(M$5,NFI,5,0),1,0)*Data_NFI_t[[#This Row],[Tarpaulin]],0)</f>
        <v>0</v>
      </c>
      <c r="Y124" s="131">
        <f>IF(NFI_Expiration=1,IF($A124&lt;VLOOKUP(N$5,NFI,5,0),1,0)*Data_NFI_t[[#This Row],[Blanket]],0)</f>
        <v>0</v>
      </c>
      <c r="Z124" s="131">
        <f>IF(NFI_Expiration=1,IF($A124&lt;VLOOKUP(O$5,NFI,5,0),1,0)*Data_NFI_t[[#This Row],[Kitchen Set]],0)</f>
        <v>0</v>
      </c>
      <c r="AA124" s="131">
        <f>IF(NFI_Expiration=1,IF($A124&lt;VLOOKUP(P$5,NFI,5,0),1,0)*Data_NFI_t[[#This Row],[Complementary Kit]],0)</f>
        <v>0</v>
      </c>
      <c r="AB124" s="131">
        <f>IF(NFI_Expiration=1,IF($A124&lt;VLOOKUP(Q$5,NFI,5,0),1,0)*Data_NFI_t[[#This Row],[Plastic Bucket]],0)</f>
        <v>0</v>
      </c>
      <c r="AC124" s="131">
        <f>IF(NFI_Expiration=1,IF($A124&lt;VLOOKUP(R$5,NFI,5,0),1,0)*Data_NFI_t[[#This Row],[Jerry Can]],0)</f>
        <v>0</v>
      </c>
      <c r="AD124" s="150">
        <f>IF(NFI_Expiration=1,IF($A124&lt;VLOOKUP(S$5,NFI,5,0),1,0)*Data_NFI_t[[#This Row],[Plastic Mat]],0)*IF(Data_NFI_t[[#This Row],[Distribution Date]]&gt;"01-04-2014",1,2.5)</f>
        <v>0</v>
      </c>
      <c r="AE124" s="150" t="str">
        <f ca="1">IFERROR(OFFSET(Camp_List[P_Code],MATCH(Data_NFI_t[[#This Row],[Camp Name]],Camp_List[Camp Name],0)-1,0,1,1),"")</f>
        <v>MMR012CMP116</v>
      </c>
      <c r="AF124" s="714" t="str">
        <f ca="1">IFERROR(OFFSET(Camp_List[Status],MATCH(Data_NFI_t[[#This Row],[Camp Name]],Camp_List[Camp Name],0)-1,0,1,1),"")</f>
        <v>Open</v>
      </c>
    </row>
    <row r="125" spans="1:32" s="102" customFormat="1" ht="15" customHeight="1" x14ac:dyDescent="0.25">
      <c r="A125" s="265">
        <f t="shared" si="1"/>
        <v>25.833333333333332</v>
      </c>
      <c r="B125" s="265">
        <f>YEAR(Data_NFI_t[[#This Row],[Distribution Date]])</f>
        <v>2013</v>
      </c>
      <c r="C125" s="738">
        <v>41564</v>
      </c>
      <c r="D125" s="655" t="s">
        <v>288</v>
      </c>
      <c r="E125" s="654" t="s">
        <v>288</v>
      </c>
      <c r="F125" s="655" t="s">
        <v>7</v>
      </c>
      <c r="G125" s="31" t="s">
        <v>19</v>
      </c>
      <c r="H125" s="31" t="s">
        <v>659</v>
      </c>
      <c r="I125" s="31"/>
      <c r="J125" s="61"/>
      <c r="K125" s="61"/>
      <c r="L125" s="61"/>
      <c r="M125" s="61"/>
      <c r="N125" s="61"/>
      <c r="O125" s="61"/>
      <c r="P125" s="61">
        <v>631</v>
      </c>
      <c r="Q125" s="61"/>
      <c r="R125" s="708"/>
      <c r="S125" s="61"/>
      <c r="T125" s="150">
        <f>IF(NFI_Expiration=1,IF($A125&lt;VLOOKUP(I$5,NFI,5,0),1,0)*Data_NFI_t[[#This Row],[Hygiene Kit]],0)</f>
        <v>0</v>
      </c>
      <c r="U125" s="150">
        <f>IF(NFI_Expiration=1,IF($A125&lt;VLOOKUP(J$5,NFI,5,0),1,0)*Data_NFI_t[[#This Row],[NFI Core Kit]],0)</f>
        <v>0</v>
      </c>
      <c r="V125" s="131">
        <f>IF(NFI_Expiration=1,IF($A125&lt;VLOOKUP(K$5,NFI,5,0),1,0)*Data_NFI_t[[#This Row],[Sanitary Kit]],0)</f>
        <v>0</v>
      </c>
      <c r="W125" s="131">
        <f>IF(NFI_Expiration=1,IF($A125&lt;VLOOKUP(L$5,NFI,5,0),1,0)*Data_NFI_t[[#This Row],[Mosquito net]],0)</f>
        <v>0</v>
      </c>
      <c r="X125" s="131">
        <f>IF(NFI_Expiration=1,IF($A125&lt;VLOOKUP(M$5,NFI,5,0),1,0)*Data_NFI_t[[#This Row],[Tarpaulin]],0)</f>
        <v>0</v>
      </c>
      <c r="Y125" s="131">
        <f>IF(NFI_Expiration=1,IF($A125&lt;VLOOKUP(N$5,NFI,5,0),1,0)*Data_NFI_t[[#This Row],[Blanket]],0)</f>
        <v>0</v>
      </c>
      <c r="Z125" s="131">
        <f>IF(NFI_Expiration=1,IF($A125&lt;VLOOKUP(O$5,NFI,5,0),1,0)*Data_NFI_t[[#This Row],[Kitchen Set]],0)</f>
        <v>0</v>
      </c>
      <c r="AA125" s="131">
        <f>IF(NFI_Expiration=1,IF($A125&lt;VLOOKUP(P$5,NFI,5,0),1,0)*Data_NFI_t[[#This Row],[Complementary Kit]],0)</f>
        <v>0</v>
      </c>
      <c r="AB125" s="131">
        <f>IF(NFI_Expiration=1,IF($A125&lt;VLOOKUP(Q$5,NFI,5,0),1,0)*Data_NFI_t[[#This Row],[Plastic Bucket]],0)</f>
        <v>0</v>
      </c>
      <c r="AC125" s="131">
        <f>IF(NFI_Expiration=1,IF($A125&lt;VLOOKUP(R$5,NFI,5,0),1,0)*Data_NFI_t[[#This Row],[Jerry Can]],0)</f>
        <v>0</v>
      </c>
      <c r="AD125" s="150">
        <f>IF(NFI_Expiration=1,IF($A125&lt;VLOOKUP(S$5,NFI,5,0),1,0)*Data_NFI_t[[#This Row],[Plastic Mat]],0)*IF(Data_NFI_t[[#This Row],[Distribution Date]]&gt;"01-04-2014",1,2.5)</f>
        <v>0</v>
      </c>
      <c r="AE125" s="150" t="str">
        <f ca="1">IFERROR(OFFSET(Camp_List[P_Code],MATCH(Data_NFI_t[[#This Row],[Camp Name]],Camp_List[Camp Name],0)-1,0,1,1),"")</f>
        <v>MMR012CMP111</v>
      </c>
      <c r="AF125" s="714" t="str">
        <f ca="1">IFERROR(OFFSET(Camp_List[Status],MATCH(Data_NFI_t[[#This Row],[Camp Name]],Camp_List[Camp Name],0)-1,0,1,1),"")</f>
        <v>Open</v>
      </c>
    </row>
    <row r="126" spans="1:32" s="102" customFormat="1" ht="15" customHeight="1" x14ac:dyDescent="0.25">
      <c r="A126" s="265">
        <f t="shared" si="1"/>
        <v>26.766666666666666</v>
      </c>
      <c r="B126" s="265">
        <f>YEAR(Data_NFI_t[[#This Row],[Distribution Date]])</f>
        <v>2013</v>
      </c>
      <c r="C126" s="738">
        <v>41536</v>
      </c>
      <c r="D126" s="655" t="s">
        <v>288</v>
      </c>
      <c r="E126" s="654" t="s">
        <v>288</v>
      </c>
      <c r="F126" s="655" t="s">
        <v>7</v>
      </c>
      <c r="G126" s="31" t="s">
        <v>14</v>
      </c>
      <c r="H126" s="31" t="s">
        <v>39</v>
      </c>
      <c r="I126" s="31"/>
      <c r="J126" s="61"/>
      <c r="K126" s="61"/>
      <c r="L126" s="61">
        <v>42</v>
      </c>
      <c r="M126" s="61"/>
      <c r="N126" s="61">
        <v>42</v>
      </c>
      <c r="O126" s="61">
        <v>21</v>
      </c>
      <c r="P126" s="61">
        <v>21</v>
      </c>
      <c r="Q126" s="61">
        <v>21</v>
      </c>
      <c r="R126" s="708"/>
      <c r="S126" s="61">
        <v>42</v>
      </c>
      <c r="T126" s="150">
        <f>IF(NFI_Expiration=1,IF($A126&lt;VLOOKUP(I$5,NFI,5,0),1,0)*Data_NFI_t[[#This Row],[Hygiene Kit]],0)</f>
        <v>0</v>
      </c>
      <c r="U126" s="150">
        <f>IF(NFI_Expiration=1,IF($A126&lt;VLOOKUP(J$5,NFI,5,0),1,0)*Data_NFI_t[[#This Row],[NFI Core Kit]],0)</f>
        <v>0</v>
      </c>
      <c r="V126" s="131">
        <f>IF(NFI_Expiration=1,IF($A126&lt;VLOOKUP(K$5,NFI,5,0),1,0)*Data_NFI_t[[#This Row],[Sanitary Kit]],0)</f>
        <v>0</v>
      </c>
      <c r="W126" s="131">
        <f>IF(NFI_Expiration=1,IF($A126&lt;VLOOKUP(L$5,NFI,5,0),1,0)*Data_NFI_t[[#This Row],[Mosquito net]],0)</f>
        <v>0</v>
      </c>
      <c r="X126" s="131">
        <f>IF(NFI_Expiration=1,IF($A126&lt;VLOOKUP(M$5,NFI,5,0),1,0)*Data_NFI_t[[#This Row],[Tarpaulin]],0)</f>
        <v>0</v>
      </c>
      <c r="Y126" s="131">
        <f>IF(NFI_Expiration=1,IF($A126&lt;VLOOKUP(N$5,NFI,5,0),1,0)*Data_NFI_t[[#This Row],[Blanket]],0)</f>
        <v>0</v>
      </c>
      <c r="Z126" s="131">
        <f>IF(NFI_Expiration=1,IF($A126&lt;VLOOKUP(O$5,NFI,5,0),1,0)*Data_NFI_t[[#This Row],[Kitchen Set]],0)</f>
        <v>0</v>
      </c>
      <c r="AA126" s="131">
        <f>IF(NFI_Expiration=1,IF($A126&lt;VLOOKUP(P$5,NFI,5,0),1,0)*Data_NFI_t[[#This Row],[Complementary Kit]],0)</f>
        <v>0</v>
      </c>
      <c r="AB126" s="131">
        <f>IF(NFI_Expiration=1,IF($A126&lt;VLOOKUP(Q$5,NFI,5,0),1,0)*Data_NFI_t[[#This Row],[Plastic Bucket]],0)</f>
        <v>0</v>
      </c>
      <c r="AC126" s="131">
        <f>IF(NFI_Expiration=1,IF($A126&lt;VLOOKUP(R$5,NFI,5,0),1,0)*Data_NFI_t[[#This Row],[Jerry Can]],0)</f>
        <v>0</v>
      </c>
      <c r="AD126" s="150">
        <f>IF(NFI_Expiration=1,IF($A126&lt;VLOOKUP(S$5,NFI,5,0),1,0)*Data_NFI_t[[#This Row],[Plastic Mat]],0)*IF(Data_NFI_t[[#This Row],[Distribution Date]]&gt;"01-04-2014",1,2.5)</f>
        <v>0</v>
      </c>
      <c r="AE126" s="150" t="str">
        <f ca="1">IFERROR(OFFSET(Camp_List[P_Code],MATCH(Data_NFI_t[[#This Row],[Camp Name]],Camp_List[Camp Name],0)-1,0,1,1),"")</f>
        <v>MMR012CMP015</v>
      </c>
      <c r="AF126" s="714" t="str">
        <f ca="1">IFERROR(OFFSET(Camp_List[Status],MATCH(Data_NFI_t[[#This Row],[Camp Name]],Camp_List[Camp Name],0)-1,0,1,1),"")</f>
        <v>Open</v>
      </c>
    </row>
    <row r="127" spans="1:32" s="102" customFormat="1" ht="15" customHeight="1" x14ac:dyDescent="0.25">
      <c r="A127" s="265">
        <f t="shared" si="1"/>
        <v>26.8</v>
      </c>
      <c r="B127" s="265">
        <f>YEAR(Data_NFI_t[[#This Row],[Distribution Date]])</f>
        <v>2013</v>
      </c>
      <c r="C127" s="738">
        <v>41535</v>
      </c>
      <c r="D127" s="655" t="s">
        <v>288</v>
      </c>
      <c r="E127" s="654" t="s">
        <v>288</v>
      </c>
      <c r="F127" s="655" t="s">
        <v>7</v>
      </c>
      <c r="G127" s="31" t="s">
        <v>14</v>
      </c>
      <c r="H127" s="31" t="s">
        <v>42</v>
      </c>
      <c r="I127" s="31"/>
      <c r="J127" s="61"/>
      <c r="K127" s="61"/>
      <c r="L127" s="61">
        <v>2658</v>
      </c>
      <c r="M127" s="61">
        <v>940</v>
      </c>
      <c r="N127" s="61">
        <v>1880</v>
      </c>
      <c r="O127" s="61">
        <v>940</v>
      </c>
      <c r="P127" s="61">
        <v>1718</v>
      </c>
      <c r="Q127" s="61">
        <v>940</v>
      </c>
      <c r="R127" s="708"/>
      <c r="S127" s="61">
        <v>1880</v>
      </c>
      <c r="T127" s="150">
        <f>IF(NFI_Expiration=1,IF($A127&lt;VLOOKUP(I$5,NFI,5,0),1,0)*Data_NFI_t[[#This Row],[Hygiene Kit]],0)</f>
        <v>0</v>
      </c>
      <c r="U127" s="150">
        <f>IF(NFI_Expiration=1,IF($A127&lt;VLOOKUP(J$5,NFI,5,0),1,0)*Data_NFI_t[[#This Row],[NFI Core Kit]],0)</f>
        <v>0</v>
      </c>
      <c r="V127" s="131">
        <f>IF(NFI_Expiration=1,IF($A127&lt;VLOOKUP(K$5,NFI,5,0),1,0)*Data_NFI_t[[#This Row],[Sanitary Kit]],0)</f>
        <v>0</v>
      </c>
      <c r="W127" s="131">
        <f>IF(NFI_Expiration=1,IF($A127&lt;VLOOKUP(L$5,NFI,5,0),1,0)*Data_NFI_t[[#This Row],[Mosquito net]],0)</f>
        <v>0</v>
      </c>
      <c r="X127" s="131">
        <f>IF(NFI_Expiration=1,IF($A127&lt;VLOOKUP(M$5,NFI,5,0),1,0)*Data_NFI_t[[#This Row],[Tarpaulin]],0)</f>
        <v>0</v>
      </c>
      <c r="Y127" s="131">
        <f>IF(NFI_Expiration=1,IF($A127&lt;VLOOKUP(N$5,NFI,5,0),1,0)*Data_NFI_t[[#This Row],[Blanket]],0)</f>
        <v>0</v>
      </c>
      <c r="Z127" s="131">
        <f>IF(NFI_Expiration=1,IF($A127&lt;VLOOKUP(O$5,NFI,5,0),1,0)*Data_NFI_t[[#This Row],[Kitchen Set]],0)</f>
        <v>0</v>
      </c>
      <c r="AA127" s="131">
        <f>IF(NFI_Expiration=1,IF($A127&lt;VLOOKUP(P$5,NFI,5,0),1,0)*Data_NFI_t[[#This Row],[Complementary Kit]],0)</f>
        <v>0</v>
      </c>
      <c r="AB127" s="131">
        <f>IF(NFI_Expiration=1,IF($A127&lt;VLOOKUP(Q$5,NFI,5,0),1,0)*Data_NFI_t[[#This Row],[Plastic Bucket]],0)</f>
        <v>0</v>
      </c>
      <c r="AC127" s="131">
        <f>IF(NFI_Expiration=1,IF($A127&lt;VLOOKUP(R$5,NFI,5,0),1,0)*Data_NFI_t[[#This Row],[Jerry Can]],0)</f>
        <v>0</v>
      </c>
      <c r="AD127" s="150">
        <f>IF(NFI_Expiration=1,IF($A127&lt;VLOOKUP(S$5,NFI,5,0),1,0)*Data_NFI_t[[#This Row],[Plastic Mat]],0)*IF(Data_NFI_t[[#This Row],[Distribution Date]]&gt;"01-04-2014",1,2.5)</f>
        <v>0</v>
      </c>
      <c r="AE127" s="150" t="str">
        <f ca="1">IFERROR(OFFSET(Camp_List[P_Code],MATCH(Data_NFI_t[[#This Row],[Camp Name]],Camp_List[Camp Name],0)-1,0,1,1),"")</f>
        <v>MMR012CMP018</v>
      </c>
      <c r="AF127" s="714" t="str">
        <f ca="1">IFERROR(OFFSET(Camp_List[Status],MATCH(Data_NFI_t[[#This Row],[Camp Name]],Camp_List[Camp Name],0)-1,0,1,1),"")</f>
        <v>Open</v>
      </c>
    </row>
    <row r="128" spans="1:32" s="102" customFormat="1" ht="15" customHeight="1" x14ac:dyDescent="0.25">
      <c r="A128" s="265">
        <f t="shared" si="1"/>
        <v>27</v>
      </c>
      <c r="B128" s="265">
        <f>YEAR(Data_NFI_t[[#This Row],[Distribution Date]])</f>
        <v>2013</v>
      </c>
      <c r="C128" s="738">
        <v>41529</v>
      </c>
      <c r="D128" s="655" t="s">
        <v>288</v>
      </c>
      <c r="E128" s="654" t="s">
        <v>288</v>
      </c>
      <c r="F128" s="655" t="s">
        <v>7</v>
      </c>
      <c r="G128" s="31" t="s">
        <v>12</v>
      </c>
      <c r="H128" s="31" t="s">
        <v>646</v>
      </c>
      <c r="I128" s="31"/>
      <c r="J128" s="61"/>
      <c r="K128" s="61"/>
      <c r="L128" s="61">
        <v>62</v>
      </c>
      <c r="M128" s="61"/>
      <c r="N128" s="61">
        <v>62</v>
      </c>
      <c r="O128" s="61">
        <v>31</v>
      </c>
      <c r="P128" s="61">
        <v>31</v>
      </c>
      <c r="Q128" s="61">
        <v>31</v>
      </c>
      <c r="R128" s="708"/>
      <c r="S128" s="61">
        <v>62</v>
      </c>
      <c r="T128" s="150">
        <f>IF(NFI_Expiration=1,IF($A128&lt;VLOOKUP(I$5,NFI,5,0),1,0)*Data_NFI_t[[#This Row],[Hygiene Kit]],0)</f>
        <v>0</v>
      </c>
      <c r="U128" s="150">
        <f>IF(NFI_Expiration=1,IF($A128&lt;VLOOKUP(J$5,NFI,5,0),1,0)*Data_NFI_t[[#This Row],[NFI Core Kit]],0)</f>
        <v>0</v>
      </c>
      <c r="V128" s="131">
        <f>IF(NFI_Expiration=1,IF($A128&lt;VLOOKUP(K$5,NFI,5,0),1,0)*Data_NFI_t[[#This Row],[Sanitary Kit]],0)</f>
        <v>0</v>
      </c>
      <c r="W128" s="131">
        <f>IF(NFI_Expiration=1,IF($A128&lt;VLOOKUP(L$5,NFI,5,0),1,0)*Data_NFI_t[[#This Row],[Mosquito net]],0)</f>
        <v>0</v>
      </c>
      <c r="X128" s="131">
        <f>IF(NFI_Expiration=1,IF($A128&lt;VLOOKUP(M$5,NFI,5,0),1,0)*Data_NFI_t[[#This Row],[Tarpaulin]],0)</f>
        <v>0</v>
      </c>
      <c r="Y128" s="131">
        <f>IF(NFI_Expiration=1,IF($A128&lt;VLOOKUP(N$5,NFI,5,0),1,0)*Data_NFI_t[[#This Row],[Blanket]],0)</f>
        <v>0</v>
      </c>
      <c r="Z128" s="131">
        <f>IF(NFI_Expiration=1,IF($A128&lt;VLOOKUP(O$5,NFI,5,0),1,0)*Data_NFI_t[[#This Row],[Kitchen Set]],0)</f>
        <v>0</v>
      </c>
      <c r="AA128" s="131">
        <f>IF(NFI_Expiration=1,IF($A128&lt;VLOOKUP(P$5,NFI,5,0),1,0)*Data_NFI_t[[#This Row],[Complementary Kit]],0)</f>
        <v>0</v>
      </c>
      <c r="AB128" s="131">
        <f>IF(NFI_Expiration=1,IF($A128&lt;VLOOKUP(Q$5,NFI,5,0),1,0)*Data_NFI_t[[#This Row],[Plastic Bucket]],0)</f>
        <v>0</v>
      </c>
      <c r="AC128" s="131">
        <f>IF(NFI_Expiration=1,IF($A128&lt;VLOOKUP(R$5,NFI,5,0),1,0)*Data_NFI_t[[#This Row],[Jerry Can]],0)</f>
        <v>0</v>
      </c>
      <c r="AD128" s="150">
        <f>IF(NFI_Expiration=1,IF($A128&lt;VLOOKUP(S$5,NFI,5,0),1,0)*Data_NFI_t[[#This Row],[Plastic Mat]],0)*IF(Data_NFI_t[[#This Row],[Distribution Date]]&gt;"01-04-2014",1,2.5)</f>
        <v>0</v>
      </c>
      <c r="AE128" s="150" t="str">
        <f ca="1">IFERROR(OFFSET(Camp_List[P_Code],MATCH(Data_NFI_t[[#This Row],[Camp Name]],Camp_List[Camp Name],0)-1,0,1,1),"")</f>
        <v>MMR012CMP117</v>
      </c>
      <c r="AF128" s="714" t="str">
        <f ca="1">IFERROR(OFFSET(Camp_List[Status],MATCH(Data_NFI_t[[#This Row],[Camp Name]],Camp_List[Camp Name],0)-1,0,1,1),"")</f>
        <v>Open</v>
      </c>
    </row>
    <row r="129" spans="1:32" s="102" customFormat="1" ht="15" customHeight="1" x14ac:dyDescent="0.25">
      <c r="A129" s="265">
        <f t="shared" si="1"/>
        <v>27.533333333333335</v>
      </c>
      <c r="B129" s="265">
        <f>YEAR(Data_NFI_t[[#This Row],[Distribution Date]])</f>
        <v>2013</v>
      </c>
      <c r="C129" s="738">
        <v>41513</v>
      </c>
      <c r="D129" s="655" t="s">
        <v>288</v>
      </c>
      <c r="E129" s="654" t="s">
        <v>288</v>
      </c>
      <c r="F129" s="655" t="s">
        <v>7</v>
      </c>
      <c r="G129" s="31" t="s">
        <v>14</v>
      </c>
      <c r="H129" s="31" t="s">
        <v>40</v>
      </c>
      <c r="I129" s="31"/>
      <c r="J129" s="61"/>
      <c r="K129" s="61"/>
      <c r="L129" s="61">
        <v>1652</v>
      </c>
      <c r="M129" s="61">
        <v>99</v>
      </c>
      <c r="N129" s="61">
        <v>1652</v>
      </c>
      <c r="O129" s="61">
        <v>826</v>
      </c>
      <c r="P129" s="61">
        <v>826</v>
      </c>
      <c r="Q129" s="61">
        <v>826</v>
      </c>
      <c r="R129" s="708"/>
      <c r="S129" s="61">
        <v>1652</v>
      </c>
      <c r="T129" s="150">
        <f>IF(NFI_Expiration=1,IF($A129&lt;VLOOKUP(I$5,NFI,5,0),1,0)*Data_NFI_t[[#This Row],[Hygiene Kit]],0)</f>
        <v>0</v>
      </c>
      <c r="U129" s="150">
        <f>IF(NFI_Expiration=1,IF($A129&lt;VLOOKUP(J$5,NFI,5,0),1,0)*Data_NFI_t[[#This Row],[NFI Core Kit]],0)</f>
        <v>0</v>
      </c>
      <c r="V129" s="131">
        <f>IF(NFI_Expiration=1,IF($A129&lt;VLOOKUP(K$5,NFI,5,0),1,0)*Data_NFI_t[[#This Row],[Sanitary Kit]],0)</f>
        <v>0</v>
      </c>
      <c r="W129" s="131">
        <f>IF(NFI_Expiration=1,IF($A129&lt;VLOOKUP(L$5,NFI,5,0),1,0)*Data_NFI_t[[#This Row],[Mosquito net]],0)</f>
        <v>0</v>
      </c>
      <c r="X129" s="131">
        <f>IF(NFI_Expiration=1,IF($A129&lt;VLOOKUP(M$5,NFI,5,0),1,0)*Data_NFI_t[[#This Row],[Tarpaulin]],0)</f>
        <v>0</v>
      </c>
      <c r="Y129" s="131">
        <f>IF(NFI_Expiration=1,IF($A129&lt;VLOOKUP(N$5,NFI,5,0),1,0)*Data_NFI_t[[#This Row],[Blanket]],0)</f>
        <v>0</v>
      </c>
      <c r="Z129" s="131">
        <f>IF(NFI_Expiration=1,IF($A129&lt;VLOOKUP(O$5,NFI,5,0),1,0)*Data_NFI_t[[#This Row],[Kitchen Set]],0)</f>
        <v>0</v>
      </c>
      <c r="AA129" s="131">
        <f>IF(NFI_Expiration=1,IF($A129&lt;VLOOKUP(P$5,NFI,5,0),1,0)*Data_NFI_t[[#This Row],[Complementary Kit]],0)</f>
        <v>0</v>
      </c>
      <c r="AB129" s="131">
        <f>IF(NFI_Expiration=1,IF($A129&lt;VLOOKUP(Q$5,NFI,5,0),1,0)*Data_NFI_t[[#This Row],[Plastic Bucket]],0)</f>
        <v>0</v>
      </c>
      <c r="AC129" s="131">
        <f>IF(NFI_Expiration=1,IF($A129&lt;VLOOKUP(R$5,NFI,5,0),1,0)*Data_NFI_t[[#This Row],[Jerry Can]],0)</f>
        <v>0</v>
      </c>
      <c r="AD129" s="150">
        <f>IF(NFI_Expiration=1,IF($A129&lt;VLOOKUP(S$5,NFI,5,0),1,0)*Data_NFI_t[[#This Row],[Plastic Mat]],0)*IF(Data_NFI_t[[#This Row],[Distribution Date]]&gt;"01-04-2014",1,2.5)</f>
        <v>0</v>
      </c>
      <c r="AE129" s="150" t="str">
        <f ca="1">IFERROR(OFFSET(Camp_List[P_Code],MATCH(Data_NFI_t[[#This Row],[Camp Name]],Camp_List[Camp Name],0)-1,0,1,1),"")</f>
        <v>MMR012CMP016</v>
      </c>
      <c r="AF129" s="714" t="str">
        <f ca="1">IFERROR(OFFSET(Camp_List[Status],MATCH(Data_NFI_t[[#This Row],[Camp Name]],Camp_List[Camp Name],0)-1,0,1,1),"")</f>
        <v>Open</v>
      </c>
    </row>
    <row r="130" spans="1:32" s="102" customFormat="1" ht="15" customHeight="1" x14ac:dyDescent="0.25">
      <c r="A130" s="265">
        <f t="shared" si="1"/>
        <v>28</v>
      </c>
      <c r="B130" s="265">
        <f>YEAR(Data_NFI_t[[#This Row],[Distribution Date]])</f>
        <v>2013</v>
      </c>
      <c r="C130" s="738">
        <v>41499</v>
      </c>
      <c r="D130" s="655" t="s">
        <v>288</v>
      </c>
      <c r="E130" s="654" t="s">
        <v>288</v>
      </c>
      <c r="F130" s="655" t="s">
        <v>7</v>
      </c>
      <c r="G130" s="31" t="s">
        <v>14</v>
      </c>
      <c r="H130" s="31" t="s">
        <v>41</v>
      </c>
      <c r="I130" s="31"/>
      <c r="J130" s="61"/>
      <c r="K130" s="61"/>
      <c r="L130" s="61">
        <v>0</v>
      </c>
      <c r="M130" s="61">
        <v>203</v>
      </c>
      <c r="N130" s="61">
        <v>0</v>
      </c>
      <c r="O130" s="61"/>
      <c r="P130" s="61"/>
      <c r="Q130" s="61"/>
      <c r="R130" s="708"/>
      <c r="S130" s="61">
        <v>448</v>
      </c>
      <c r="T130" s="150">
        <f>IF(NFI_Expiration=1,IF($A130&lt;VLOOKUP(I$5,NFI,5,0),1,0)*Data_NFI_t[[#This Row],[Hygiene Kit]],0)</f>
        <v>0</v>
      </c>
      <c r="U130" s="150">
        <f>IF(NFI_Expiration=1,IF($A130&lt;VLOOKUP(J$5,NFI,5,0),1,0)*Data_NFI_t[[#This Row],[NFI Core Kit]],0)</f>
        <v>0</v>
      </c>
      <c r="V130" s="131">
        <f>IF(NFI_Expiration=1,IF($A130&lt;VLOOKUP(K$5,NFI,5,0),1,0)*Data_NFI_t[[#This Row],[Sanitary Kit]],0)</f>
        <v>0</v>
      </c>
      <c r="W130" s="131">
        <f>IF(NFI_Expiration=1,IF($A130&lt;VLOOKUP(L$5,NFI,5,0),1,0)*Data_NFI_t[[#This Row],[Mosquito net]],0)</f>
        <v>0</v>
      </c>
      <c r="X130" s="131">
        <f>IF(NFI_Expiration=1,IF($A130&lt;VLOOKUP(M$5,NFI,5,0),1,0)*Data_NFI_t[[#This Row],[Tarpaulin]],0)</f>
        <v>0</v>
      </c>
      <c r="Y130" s="131">
        <f>IF(NFI_Expiration=1,IF($A130&lt;VLOOKUP(N$5,NFI,5,0),1,0)*Data_NFI_t[[#This Row],[Blanket]],0)</f>
        <v>0</v>
      </c>
      <c r="Z130" s="131">
        <f>IF(NFI_Expiration=1,IF($A130&lt;VLOOKUP(O$5,NFI,5,0),1,0)*Data_NFI_t[[#This Row],[Kitchen Set]],0)</f>
        <v>0</v>
      </c>
      <c r="AA130" s="131">
        <f>IF(NFI_Expiration=1,IF($A130&lt;VLOOKUP(P$5,NFI,5,0),1,0)*Data_NFI_t[[#This Row],[Complementary Kit]],0)</f>
        <v>0</v>
      </c>
      <c r="AB130" s="131">
        <f>IF(NFI_Expiration=1,IF($A130&lt;VLOOKUP(Q$5,NFI,5,0),1,0)*Data_NFI_t[[#This Row],[Plastic Bucket]],0)</f>
        <v>0</v>
      </c>
      <c r="AC130" s="131">
        <f>IF(NFI_Expiration=1,IF($A130&lt;VLOOKUP(R$5,NFI,5,0),1,0)*Data_NFI_t[[#This Row],[Jerry Can]],0)</f>
        <v>0</v>
      </c>
      <c r="AD130" s="150">
        <f>IF(NFI_Expiration=1,IF($A130&lt;VLOOKUP(S$5,NFI,5,0),1,0)*Data_NFI_t[[#This Row],[Plastic Mat]],0)*IF(Data_NFI_t[[#This Row],[Distribution Date]]&gt;"01-04-2014",1,2.5)</f>
        <v>0</v>
      </c>
      <c r="AE130" s="150" t="str">
        <f ca="1">IFERROR(OFFSET(Camp_List[P_Code],MATCH(Data_NFI_t[[#This Row],[Camp Name]],Camp_List[Camp Name],0)-1,0,1,1),"")</f>
        <v>MMR012CMP017</v>
      </c>
      <c r="AF130" s="714" t="str">
        <f ca="1">IFERROR(OFFSET(Camp_List[Status],MATCH(Data_NFI_t[[#This Row],[Camp Name]],Camp_List[Camp Name],0)-1,0,1,1),"")</f>
        <v>Open</v>
      </c>
    </row>
    <row r="131" spans="1:32" s="102" customFormat="1" ht="15" customHeight="1" x14ac:dyDescent="0.25">
      <c r="A131" s="265">
        <f t="shared" si="1"/>
        <v>28.166666666666668</v>
      </c>
      <c r="B131" s="265">
        <f>YEAR(Data_NFI_t[[#This Row],[Distribution Date]])</f>
        <v>2013</v>
      </c>
      <c r="C131" s="738">
        <v>41494</v>
      </c>
      <c r="D131" s="655" t="s">
        <v>288</v>
      </c>
      <c r="E131" s="654" t="s">
        <v>288</v>
      </c>
      <c r="F131" s="655" t="s">
        <v>7</v>
      </c>
      <c r="G131" s="31" t="s">
        <v>915</v>
      </c>
      <c r="H131" s="31" t="s">
        <v>37</v>
      </c>
      <c r="I131" s="31"/>
      <c r="J131" s="61">
        <v>44</v>
      </c>
      <c r="K131" s="61"/>
      <c r="L131" s="61">
        <v>88</v>
      </c>
      <c r="M131" s="61">
        <v>44</v>
      </c>
      <c r="N131" s="61">
        <v>88</v>
      </c>
      <c r="O131" s="61">
        <v>44</v>
      </c>
      <c r="P131" s="61">
        <v>44</v>
      </c>
      <c r="Q131" s="61">
        <v>44</v>
      </c>
      <c r="R131" s="708"/>
      <c r="S131" s="61">
        <v>88</v>
      </c>
      <c r="T131" s="150">
        <f>IF(NFI_Expiration=1,IF($A131&lt;VLOOKUP(I$5,NFI,5,0),1,0)*Data_NFI_t[[#This Row],[Hygiene Kit]],0)</f>
        <v>0</v>
      </c>
      <c r="U131" s="150">
        <f>IF(NFI_Expiration=1,IF($A131&lt;VLOOKUP(J$5,NFI,5,0),1,0)*Data_NFI_t[[#This Row],[NFI Core Kit]],0)</f>
        <v>0</v>
      </c>
      <c r="V131" s="131">
        <f>IF(NFI_Expiration=1,IF($A131&lt;VLOOKUP(K$5,NFI,5,0),1,0)*Data_NFI_t[[#This Row],[Sanitary Kit]],0)</f>
        <v>0</v>
      </c>
      <c r="W131" s="131">
        <f>IF(NFI_Expiration=1,IF($A131&lt;VLOOKUP(L$5,NFI,5,0),1,0)*Data_NFI_t[[#This Row],[Mosquito net]],0)</f>
        <v>0</v>
      </c>
      <c r="X131" s="131">
        <f>IF(NFI_Expiration=1,IF($A131&lt;VLOOKUP(M$5,NFI,5,0),1,0)*Data_NFI_t[[#This Row],[Tarpaulin]],0)</f>
        <v>0</v>
      </c>
      <c r="Y131" s="131">
        <f>IF(NFI_Expiration=1,IF($A131&lt;VLOOKUP(N$5,NFI,5,0),1,0)*Data_NFI_t[[#This Row],[Blanket]],0)</f>
        <v>0</v>
      </c>
      <c r="Z131" s="131">
        <f>IF(NFI_Expiration=1,IF($A131&lt;VLOOKUP(O$5,NFI,5,0),1,0)*Data_NFI_t[[#This Row],[Kitchen Set]],0)</f>
        <v>0</v>
      </c>
      <c r="AA131" s="131">
        <f>IF(NFI_Expiration=1,IF($A131&lt;VLOOKUP(P$5,NFI,5,0),1,0)*Data_NFI_t[[#This Row],[Complementary Kit]],0)</f>
        <v>0</v>
      </c>
      <c r="AB131" s="131">
        <f>IF(NFI_Expiration=1,IF($A131&lt;VLOOKUP(Q$5,NFI,5,0),1,0)*Data_NFI_t[[#This Row],[Plastic Bucket]],0)</f>
        <v>0</v>
      </c>
      <c r="AC131" s="131">
        <f>IF(NFI_Expiration=1,IF($A131&lt;VLOOKUP(R$5,NFI,5,0),1,0)*Data_NFI_t[[#This Row],[Jerry Can]],0)</f>
        <v>0</v>
      </c>
      <c r="AD131" s="150">
        <f>IF(NFI_Expiration=1,IF($A131&lt;VLOOKUP(S$5,NFI,5,0),1,0)*Data_NFI_t[[#This Row],[Plastic Mat]],0)*IF(Data_NFI_t[[#This Row],[Distribution Date]]&gt;"01-04-2014",1,2.5)</f>
        <v>0</v>
      </c>
      <c r="AE131" s="150" t="str">
        <f ca="1">IFERROR(OFFSET(Camp_List[P_Code],MATCH(Data_NFI_t[[#This Row],[Camp Name]],Camp_List[Camp Name],0)-1,0,1,1),"")</f>
        <v>MMR012CMP013</v>
      </c>
      <c r="AF131" s="714" t="str">
        <f ca="1">IFERROR(OFFSET(Camp_List[Status],MATCH(Data_NFI_t[[#This Row],[Camp Name]],Camp_List[Camp Name],0)-1,0,1,1),"")</f>
        <v>Open</v>
      </c>
    </row>
    <row r="132" spans="1:32" s="102" customFormat="1" ht="15" customHeight="1" x14ac:dyDescent="0.25">
      <c r="A132" s="265">
        <f t="shared" si="1"/>
        <v>28.166666666666668</v>
      </c>
      <c r="B132" s="265">
        <f>YEAR(Data_NFI_t[[#This Row],[Distribution Date]])</f>
        <v>2013</v>
      </c>
      <c r="C132" s="738">
        <v>41494</v>
      </c>
      <c r="D132" s="655" t="s">
        <v>288</v>
      </c>
      <c r="E132" s="654" t="s">
        <v>288</v>
      </c>
      <c r="F132" s="655" t="s">
        <v>7</v>
      </c>
      <c r="G132" s="31" t="s">
        <v>915</v>
      </c>
      <c r="H132" s="31" t="s">
        <v>38</v>
      </c>
      <c r="I132" s="31"/>
      <c r="J132" s="61">
        <v>755</v>
      </c>
      <c r="K132" s="61"/>
      <c r="L132" s="61">
        <v>1510</v>
      </c>
      <c r="M132" s="61">
        <v>755</v>
      </c>
      <c r="N132" s="61">
        <v>1510</v>
      </c>
      <c r="O132" s="61">
        <v>755</v>
      </c>
      <c r="P132" s="61">
        <v>755</v>
      </c>
      <c r="Q132" s="61">
        <v>755</v>
      </c>
      <c r="R132" s="708"/>
      <c r="S132" s="61">
        <v>1510</v>
      </c>
      <c r="T132" s="150">
        <f>IF(NFI_Expiration=1,IF($A132&lt;VLOOKUP(I$5,NFI,5,0),1,0)*Data_NFI_t[[#This Row],[Hygiene Kit]],0)</f>
        <v>0</v>
      </c>
      <c r="U132" s="150">
        <f>IF(NFI_Expiration=1,IF($A132&lt;VLOOKUP(J$5,NFI,5,0),1,0)*Data_NFI_t[[#This Row],[NFI Core Kit]],0)</f>
        <v>0</v>
      </c>
      <c r="V132" s="131">
        <f>IF(NFI_Expiration=1,IF($A132&lt;VLOOKUP(K$5,NFI,5,0),1,0)*Data_NFI_t[[#This Row],[Sanitary Kit]],0)</f>
        <v>0</v>
      </c>
      <c r="W132" s="131">
        <f>IF(NFI_Expiration=1,IF($A132&lt;VLOOKUP(L$5,NFI,5,0),1,0)*Data_NFI_t[[#This Row],[Mosquito net]],0)</f>
        <v>0</v>
      </c>
      <c r="X132" s="131">
        <f>IF(NFI_Expiration=1,IF($A132&lt;VLOOKUP(M$5,NFI,5,0),1,0)*Data_NFI_t[[#This Row],[Tarpaulin]],0)</f>
        <v>0</v>
      </c>
      <c r="Y132" s="131">
        <f>IF(NFI_Expiration=1,IF($A132&lt;VLOOKUP(N$5,NFI,5,0),1,0)*Data_NFI_t[[#This Row],[Blanket]],0)</f>
        <v>0</v>
      </c>
      <c r="Z132" s="131">
        <f>IF(NFI_Expiration=1,IF($A132&lt;VLOOKUP(O$5,NFI,5,0),1,0)*Data_NFI_t[[#This Row],[Kitchen Set]],0)</f>
        <v>0</v>
      </c>
      <c r="AA132" s="131">
        <f>IF(NFI_Expiration=1,IF($A132&lt;VLOOKUP(P$5,NFI,5,0),1,0)*Data_NFI_t[[#This Row],[Complementary Kit]],0)</f>
        <v>0</v>
      </c>
      <c r="AB132" s="131">
        <f>IF(NFI_Expiration=1,IF($A132&lt;VLOOKUP(Q$5,NFI,5,0),1,0)*Data_NFI_t[[#This Row],[Plastic Bucket]],0)</f>
        <v>0</v>
      </c>
      <c r="AC132" s="131">
        <f>IF(NFI_Expiration=1,IF($A132&lt;VLOOKUP(R$5,NFI,5,0),1,0)*Data_NFI_t[[#This Row],[Jerry Can]],0)</f>
        <v>0</v>
      </c>
      <c r="AD132" s="150">
        <f>IF(NFI_Expiration=1,IF($A132&lt;VLOOKUP(S$5,NFI,5,0),1,0)*Data_NFI_t[[#This Row],[Plastic Mat]],0)*IF(Data_NFI_t[[#This Row],[Distribution Date]]&gt;"01-04-2014",1,2.5)</f>
        <v>0</v>
      </c>
      <c r="AE132" s="150" t="str">
        <f ca="1">IFERROR(OFFSET(Camp_List[P_Code],MATCH(Data_NFI_t[[#This Row],[Camp Name]],Camp_List[Camp Name],0)-1,0,1,1),"")</f>
        <v>MMR012CMP014</v>
      </c>
      <c r="AF132" s="714" t="str">
        <f ca="1">IFERROR(OFFSET(Camp_List[Status],MATCH(Data_NFI_t[[#This Row],[Camp Name]],Camp_List[Camp Name],0)-1,0,1,1),"")</f>
        <v>Open</v>
      </c>
    </row>
    <row r="133" spans="1:32" s="102" customFormat="1" ht="15" customHeight="1" x14ac:dyDescent="0.25">
      <c r="A133" s="265">
        <f t="shared" si="1"/>
        <v>29.133333333333333</v>
      </c>
      <c r="B133" s="265">
        <f>YEAR(Data_NFI_t[[#This Row],[Distribution Date]])</f>
        <v>2013</v>
      </c>
      <c r="C133" s="738">
        <v>41465</v>
      </c>
      <c r="D133" s="655" t="s">
        <v>288</v>
      </c>
      <c r="E133" s="654" t="s">
        <v>288</v>
      </c>
      <c r="F133" s="655" t="s">
        <v>7</v>
      </c>
      <c r="G133" s="31" t="s">
        <v>11</v>
      </c>
      <c r="H133" s="31" t="s">
        <v>27</v>
      </c>
      <c r="I133" s="31"/>
      <c r="J133" s="61"/>
      <c r="K133" s="61"/>
      <c r="L133" s="61">
        <v>240</v>
      </c>
      <c r="M133" s="61"/>
      <c r="N133" s="61">
        <v>240</v>
      </c>
      <c r="O133" s="61">
        <v>120</v>
      </c>
      <c r="P133" s="61">
        <v>120</v>
      </c>
      <c r="Q133" s="61">
        <v>120</v>
      </c>
      <c r="R133" s="708"/>
      <c r="S133" s="61">
        <v>240</v>
      </c>
      <c r="T133" s="150">
        <f>IF(NFI_Expiration=1,IF($A133&lt;VLOOKUP(I$5,NFI,5,0),1,0)*Data_NFI_t[[#This Row],[Hygiene Kit]],0)</f>
        <v>0</v>
      </c>
      <c r="U133" s="150">
        <f>IF(NFI_Expiration=1,IF($A133&lt;VLOOKUP(J$5,NFI,5,0),1,0)*Data_NFI_t[[#This Row],[NFI Core Kit]],0)</f>
        <v>0</v>
      </c>
      <c r="V133" s="131">
        <f>IF(NFI_Expiration=1,IF($A133&lt;VLOOKUP(K$5,NFI,5,0),1,0)*Data_NFI_t[[#This Row],[Sanitary Kit]],0)</f>
        <v>0</v>
      </c>
      <c r="W133" s="131">
        <f>IF(NFI_Expiration=1,IF($A133&lt;VLOOKUP(L$5,NFI,5,0),1,0)*Data_NFI_t[[#This Row],[Mosquito net]],0)</f>
        <v>0</v>
      </c>
      <c r="X133" s="131">
        <f>IF(NFI_Expiration=1,IF($A133&lt;VLOOKUP(M$5,NFI,5,0),1,0)*Data_NFI_t[[#This Row],[Tarpaulin]],0)</f>
        <v>0</v>
      </c>
      <c r="Y133" s="131">
        <f>IF(NFI_Expiration=1,IF($A133&lt;VLOOKUP(N$5,NFI,5,0),1,0)*Data_NFI_t[[#This Row],[Blanket]],0)</f>
        <v>0</v>
      </c>
      <c r="Z133" s="131">
        <f>IF(NFI_Expiration=1,IF($A133&lt;VLOOKUP(O$5,NFI,5,0),1,0)*Data_NFI_t[[#This Row],[Kitchen Set]],0)</f>
        <v>0</v>
      </c>
      <c r="AA133" s="131">
        <f>IF(NFI_Expiration=1,IF($A133&lt;VLOOKUP(P$5,NFI,5,0),1,0)*Data_NFI_t[[#This Row],[Complementary Kit]],0)</f>
        <v>0</v>
      </c>
      <c r="AB133" s="131">
        <f>IF(NFI_Expiration=1,IF($A133&lt;VLOOKUP(Q$5,NFI,5,0),1,0)*Data_NFI_t[[#This Row],[Plastic Bucket]],0)</f>
        <v>0</v>
      </c>
      <c r="AC133" s="131">
        <f>IF(NFI_Expiration=1,IF($A133&lt;VLOOKUP(R$5,NFI,5,0),1,0)*Data_NFI_t[[#This Row],[Jerry Can]],0)</f>
        <v>0</v>
      </c>
      <c r="AD133" s="150">
        <f>IF(NFI_Expiration=1,IF($A133&lt;VLOOKUP(S$5,NFI,5,0),1,0)*Data_NFI_t[[#This Row],[Plastic Mat]],0)*IF(Data_NFI_t[[#This Row],[Distribution Date]]&gt;"01-04-2014",1,2.5)</f>
        <v>0</v>
      </c>
      <c r="AE133" s="150" t="str">
        <f ca="1">IFERROR(OFFSET(Camp_List[P_Code],MATCH(Data_NFI_t[[#This Row],[Camp Name]],Camp_List[Camp Name],0)-1,0,1,1),"")</f>
        <v>MMR012CMP003</v>
      </c>
      <c r="AF133" s="714" t="str">
        <f ca="1">IFERROR(OFFSET(Camp_List[Status],MATCH(Data_NFI_t[[#This Row],[Camp Name]],Camp_List[Camp Name],0)-1,0,1,1),"")</f>
        <v>Open</v>
      </c>
    </row>
    <row r="134" spans="1:32" s="102" customFormat="1" ht="15" customHeight="1" x14ac:dyDescent="0.25">
      <c r="A134" s="265">
        <f t="shared" ref="A134:A197" si="2">IF(ISBLANK(C134),"",(Report_Date-C134)/30)</f>
        <v>29.133333333333333</v>
      </c>
      <c r="B134" s="265">
        <f>YEAR(Data_NFI_t[[#This Row],[Distribution Date]])</f>
        <v>2013</v>
      </c>
      <c r="C134" s="738">
        <v>41465</v>
      </c>
      <c r="D134" s="655" t="s">
        <v>288</v>
      </c>
      <c r="E134" s="654" t="s">
        <v>288</v>
      </c>
      <c r="F134" s="655" t="s">
        <v>7</v>
      </c>
      <c r="G134" s="31" t="s">
        <v>11</v>
      </c>
      <c r="H134" s="31" t="s">
        <v>26</v>
      </c>
      <c r="I134" s="31"/>
      <c r="J134" s="61"/>
      <c r="K134" s="61"/>
      <c r="L134" s="61">
        <v>428</v>
      </c>
      <c r="M134" s="61"/>
      <c r="N134" s="61">
        <v>428</v>
      </c>
      <c r="O134" s="61">
        <v>214</v>
      </c>
      <c r="P134" s="61">
        <v>214</v>
      </c>
      <c r="Q134" s="61">
        <v>214</v>
      </c>
      <c r="R134" s="708"/>
      <c r="S134" s="61">
        <v>428</v>
      </c>
      <c r="T134" s="150">
        <f>IF(NFI_Expiration=1,IF($A134&lt;VLOOKUP(I$5,NFI,5,0),1,0)*Data_NFI_t[[#This Row],[Hygiene Kit]],0)</f>
        <v>0</v>
      </c>
      <c r="U134" s="150">
        <f>IF(NFI_Expiration=1,IF($A134&lt;VLOOKUP(J$5,NFI,5,0),1,0)*Data_NFI_t[[#This Row],[NFI Core Kit]],0)</f>
        <v>0</v>
      </c>
      <c r="V134" s="131">
        <f>IF(NFI_Expiration=1,IF($A134&lt;VLOOKUP(K$5,NFI,5,0),1,0)*Data_NFI_t[[#This Row],[Sanitary Kit]],0)</f>
        <v>0</v>
      </c>
      <c r="W134" s="131">
        <f>IF(NFI_Expiration=1,IF($A134&lt;VLOOKUP(L$5,NFI,5,0),1,0)*Data_NFI_t[[#This Row],[Mosquito net]],0)</f>
        <v>0</v>
      </c>
      <c r="X134" s="131">
        <f>IF(NFI_Expiration=1,IF($A134&lt;VLOOKUP(M$5,NFI,5,0),1,0)*Data_NFI_t[[#This Row],[Tarpaulin]],0)</f>
        <v>0</v>
      </c>
      <c r="Y134" s="131">
        <f>IF(NFI_Expiration=1,IF($A134&lt;VLOOKUP(N$5,NFI,5,0),1,0)*Data_NFI_t[[#This Row],[Blanket]],0)</f>
        <v>0</v>
      </c>
      <c r="Z134" s="131">
        <f>IF(NFI_Expiration=1,IF($A134&lt;VLOOKUP(O$5,NFI,5,0),1,0)*Data_NFI_t[[#This Row],[Kitchen Set]],0)</f>
        <v>0</v>
      </c>
      <c r="AA134" s="131">
        <f>IF(NFI_Expiration=1,IF($A134&lt;VLOOKUP(P$5,NFI,5,0),1,0)*Data_NFI_t[[#This Row],[Complementary Kit]],0)</f>
        <v>0</v>
      </c>
      <c r="AB134" s="131">
        <f>IF(NFI_Expiration=1,IF($A134&lt;VLOOKUP(Q$5,NFI,5,0),1,0)*Data_NFI_t[[#This Row],[Plastic Bucket]],0)</f>
        <v>0</v>
      </c>
      <c r="AC134" s="131">
        <f>IF(NFI_Expiration=1,IF($A134&lt;VLOOKUP(R$5,NFI,5,0),1,0)*Data_NFI_t[[#This Row],[Jerry Can]],0)</f>
        <v>0</v>
      </c>
      <c r="AD134" s="150">
        <f>IF(NFI_Expiration=1,IF($A134&lt;VLOOKUP(S$5,NFI,5,0),1,0)*Data_NFI_t[[#This Row],[Plastic Mat]],0)*IF(Data_NFI_t[[#This Row],[Distribution Date]]&gt;"01-04-2014",1,2.5)</f>
        <v>0</v>
      </c>
      <c r="AE134" s="150" t="str">
        <f ca="1">IFERROR(OFFSET(Camp_List[P_Code],MATCH(Data_NFI_t[[#This Row],[Camp Name]],Camp_List[Camp Name],0)-1,0,1,1),"")</f>
        <v>MMR012CMP002</v>
      </c>
      <c r="AF134" s="714" t="str">
        <f ca="1">IFERROR(OFFSET(Camp_List[Status],MATCH(Data_NFI_t[[#This Row],[Camp Name]],Camp_List[Camp Name],0)-1,0,1,1),"")</f>
        <v>Open</v>
      </c>
    </row>
    <row r="135" spans="1:32" s="102" customFormat="1" ht="15" customHeight="1" x14ac:dyDescent="0.25">
      <c r="A135" s="265">
        <f t="shared" si="2"/>
        <v>29.166666666666668</v>
      </c>
      <c r="B135" s="265">
        <f>YEAR(Data_NFI_t[[#This Row],[Distribution Date]])</f>
        <v>2013</v>
      </c>
      <c r="C135" s="738">
        <v>41464</v>
      </c>
      <c r="D135" s="655" t="s">
        <v>288</v>
      </c>
      <c r="E135" s="654" t="s">
        <v>288</v>
      </c>
      <c r="F135" s="655" t="s">
        <v>7</v>
      </c>
      <c r="G135" s="31" t="s">
        <v>11</v>
      </c>
      <c r="H135" s="31" t="s">
        <v>30</v>
      </c>
      <c r="I135" s="31"/>
      <c r="J135" s="61"/>
      <c r="K135" s="61"/>
      <c r="L135" s="61">
        <v>290</v>
      </c>
      <c r="M135" s="61">
        <v>1312</v>
      </c>
      <c r="N135" s="61">
        <v>290</v>
      </c>
      <c r="O135" s="61">
        <v>145</v>
      </c>
      <c r="P135" s="61">
        <v>145</v>
      </c>
      <c r="Q135" s="61">
        <v>145</v>
      </c>
      <c r="R135" s="708"/>
      <c r="S135" s="61">
        <v>290</v>
      </c>
      <c r="T135" s="150">
        <f>IF(NFI_Expiration=1,IF($A135&lt;VLOOKUP(I$5,NFI,5,0),1,0)*Data_NFI_t[[#This Row],[Hygiene Kit]],0)</f>
        <v>0</v>
      </c>
      <c r="U135" s="150">
        <f>IF(NFI_Expiration=1,IF($A135&lt;VLOOKUP(J$5,NFI,5,0),1,0)*Data_NFI_t[[#This Row],[NFI Core Kit]],0)</f>
        <v>0</v>
      </c>
      <c r="V135" s="131">
        <f>IF(NFI_Expiration=1,IF($A135&lt;VLOOKUP(K$5,NFI,5,0),1,0)*Data_NFI_t[[#This Row],[Sanitary Kit]],0)</f>
        <v>0</v>
      </c>
      <c r="W135" s="131">
        <f>IF(NFI_Expiration=1,IF($A135&lt;VLOOKUP(L$5,NFI,5,0),1,0)*Data_NFI_t[[#This Row],[Mosquito net]],0)</f>
        <v>0</v>
      </c>
      <c r="X135" s="131">
        <f>IF(NFI_Expiration=1,IF($A135&lt;VLOOKUP(M$5,NFI,5,0),1,0)*Data_NFI_t[[#This Row],[Tarpaulin]],0)</f>
        <v>0</v>
      </c>
      <c r="Y135" s="131">
        <f>IF(NFI_Expiration=1,IF($A135&lt;VLOOKUP(N$5,NFI,5,0),1,0)*Data_NFI_t[[#This Row],[Blanket]],0)</f>
        <v>0</v>
      </c>
      <c r="Z135" s="131">
        <f>IF(NFI_Expiration=1,IF($A135&lt;VLOOKUP(O$5,NFI,5,0),1,0)*Data_NFI_t[[#This Row],[Kitchen Set]],0)</f>
        <v>0</v>
      </c>
      <c r="AA135" s="131">
        <f>IF(NFI_Expiration=1,IF($A135&lt;VLOOKUP(P$5,NFI,5,0),1,0)*Data_NFI_t[[#This Row],[Complementary Kit]],0)</f>
        <v>0</v>
      </c>
      <c r="AB135" s="131">
        <f>IF(NFI_Expiration=1,IF($A135&lt;VLOOKUP(Q$5,NFI,5,0),1,0)*Data_NFI_t[[#This Row],[Plastic Bucket]],0)</f>
        <v>0</v>
      </c>
      <c r="AC135" s="131">
        <f>IF(NFI_Expiration=1,IF($A135&lt;VLOOKUP(R$5,NFI,5,0),1,0)*Data_NFI_t[[#This Row],[Jerry Can]],0)</f>
        <v>0</v>
      </c>
      <c r="AD135" s="150">
        <f>IF(NFI_Expiration=1,IF($A135&lt;VLOOKUP(S$5,NFI,5,0),1,0)*Data_NFI_t[[#This Row],[Plastic Mat]],0)*IF(Data_NFI_t[[#This Row],[Distribution Date]]&gt;"01-04-2014",1,2.5)</f>
        <v>0</v>
      </c>
      <c r="AE135" s="150" t="str">
        <f ca="1">IFERROR(OFFSET(Camp_List[P_Code],MATCH(Data_NFI_t[[#This Row],[Camp Name]],Camp_List[Camp Name],0)-1,0,1,1),"")</f>
        <v>MMR012CMP006</v>
      </c>
      <c r="AF135" s="714" t="str">
        <f ca="1">IFERROR(OFFSET(Camp_List[Status],MATCH(Data_NFI_t[[#This Row],[Camp Name]],Camp_List[Camp Name],0)-1,0,1,1),"")</f>
        <v>Open</v>
      </c>
    </row>
    <row r="136" spans="1:32" s="102" customFormat="1" ht="15" customHeight="1" x14ac:dyDescent="0.25">
      <c r="A136" s="265">
        <f t="shared" si="2"/>
        <v>29.166666666666668</v>
      </c>
      <c r="B136" s="265">
        <f>YEAR(Data_NFI_t[[#This Row],[Distribution Date]])</f>
        <v>2013</v>
      </c>
      <c r="C136" s="738">
        <v>41464</v>
      </c>
      <c r="D136" s="655" t="s">
        <v>288</v>
      </c>
      <c r="E136" s="654" t="s">
        <v>288</v>
      </c>
      <c r="F136" s="655" t="s">
        <v>7</v>
      </c>
      <c r="G136" s="31" t="s">
        <v>11</v>
      </c>
      <c r="H136" s="31" t="s">
        <v>25</v>
      </c>
      <c r="I136" s="31"/>
      <c r="J136" s="61"/>
      <c r="K136" s="61"/>
      <c r="L136" s="61">
        <v>130</v>
      </c>
      <c r="M136" s="61">
        <v>108</v>
      </c>
      <c r="N136" s="61">
        <v>130</v>
      </c>
      <c r="O136" s="61">
        <v>65</v>
      </c>
      <c r="P136" s="61">
        <v>65</v>
      </c>
      <c r="Q136" s="61">
        <v>65</v>
      </c>
      <c r="R136" s="708"/>
      <c r="S136" s="61">
        <v>130</v>
      </c>
      <c r="T136" s="150">
        <f>IF(NFI_Expiration=1,IF($A136&lt;VLOOKUP(I$5,NFI,5,0),1,0)*Data_NFI_t[[#This Row],[Hygiene Kit]],0)</f>
        <v>0</v>
      </c>
      <c r="U136" s="150">
        <f>IF(NFI_Expiration=1,IF($A136&lt;VLOOKUP(J$5,NFI,5,0),1,0)*Data_NFI_t[[#This Row],[NFI Core Kit]],0)</f>
        <v>0</v>
      </c>
      <c r="V136" s="131">
        <f>IF(NFI_Expiration=1,IF($A136&lt;VLOOKUP(K$5,NFI,5,0),1,0)*Data_NFI_t[[#This Row],[Sanitary Kit]],0)</f>
        <v>0</v>
      </c>
      <c r="W136" s="131">
        <f>IF(NFI_Expiration=1,IF($A136&lt;VLOOKUP(L$5,NFI,5,0),1,0)*Data_NFI_t[[#This Row],[Mosquito net]],0)</f>
        <v>0</v>
      </c>
      <c r="X136" s="131">
        <f>IF(NFI_Expiration=1,IF($A136&lt;VLOOKUP(M$5,NFI,5,0),1,0)*Data_NFI_t[[#This Row],[Tarpaulin]],0)</f>
        <v>0</v>
      </c>
      <c r="Y136" s="131">
        <f>IF(NFI_Expiration=1,IF($A136&lt;VLOOKUP(N$5,NFI,5,0),1,0)*Data_NFI_t[[#This Row],[Blanket]],0)</f>
        <v>0</v>
      </c>
      <c r="Z136" s="131">
        <f>IF(NFI_Expiration=1,IF($A136&lt;VLOOKUP(O$5,NFI,5,0),1,0)*Data_NFI_t[[#This Row],[Kitchen Set]],0)</f>
        <v>0</v>
      </c>
      <c r="AA136" s="131">
        <f>IF(NFI_Expiration=1,IF($A136&lt;VLOOKUP(P$5,NFI,5,0),1,0)*Data_NFI_t[[#This Row],[Complementary Kit]],0)</f>
        <v>0</v>
      </c>
      <c r="AB136" s="131">
        <f>IF(NFI_Expiration=1,IF($A136&lt;VLOOKUP(Q$5,NFI,5,0),1,0)*Data_NFI_t[[#This Row],[Plastic Bucket]],0)</f>
        <v>0</v>
      </c>
      <c r="AC136" s="131">
        <f>IF(NFI_Expiration=1,IF($A136&lt;VLOOKUP(R$5,NFI,5,0),1,0)*Data_NFI_t[[#This Row],[Jerry Can]],0)</f>
        <v>0</v>
      </c>
      <c r="AD136" s="150">
        <f>IF(NFI_Expiration=1,IF($A136&lt;VLOOKUP(S$5,NFI,5,0),1,0)*Data_NFI_t[[#This Row],[Plastic Mat]],0)*IF(Data_NFI_t[[#This Row],[Distribution Date]]&gt;"01-04-2014",1,2.5)</f>
        <v>0</v>
      </c>
      <c r="AE136" s="150" t="str">
        <f ca="1">IFERROR(OFFSET(Camp_List[P_Code],MATCH(Data_NFI_t[[#This Row],[Camp Name]],Camp_List[Camp Name],0)-1,0,1,1),"")</f>
        <v>MMR012CMP001</v>
      </c>
      <c r="AF136" s="714" t="str">
        <f ca="1">IFERROR(OFFSET(Camp_List[Status],MATCH(Data_NFI_t[[#This Row],[Camp Name]],Camp_List[Camp Name],0)-1,0,1,1),"")</f>
        <v>Open</v>
      </c>
    </row>
    <row r="137" spans="1:32" s="102" customFormat="1" ht="15" customHeight="1" x14ac:dyDescent="0.25">
      <c r="A137" s="265">
        <f t="shared" si="2"/>
        <v>29.166666666666668</v>
      </c>
      <c r="B137" s="265">
        <f>YEAR(Data_NFI_t[[#This Row],[Distribution Date]])</f>
        <v>2013</v>
      </c>
      <c r="C137" s="738">
        <v>41464</v>
      </c>
      <c r="D137" s="655" t="s">
        <v>288</v>
      </c>
      <c r="E137" s="654" t="s">
        <v>288</v>
      </c>
      <c r="F137" s="655" t="s">
        <v>7</v>
      </c>
      <c r="G137" s="31" t="s">
        <v>11</v>
      </c>
      <c r="H137" s="31" t="s">
        <v>32</v>
      </c>
      <c r="I137" s="31"/>
      <c r="J137" s="61"/>
      <c r="K137" s="61"/>
      <c r="L137" s="61">
        <v>490</v>
      </c>
      <c r="M137" s="61"/>
      <c r="N137" s="61">
        <v>490</v>
      </c>
      <c r="O137" s="61">
        <v>245</v>
      </c>
      <c r="P137" s="61">
        <v>245</v>
      </c>
      <c r="Q137" s="61">
        <v>245</v>
      </c>
      <c r="R137" s="708"/>
      <c r="S137" s="61">
        <v>490</v>
      </c>
      <c r="T137" s="150">
        <f>IF(NFI_Expiration=1,IF($A137&lt;VLOOKUP(I$5,NFI,5,0),1,0)*Data_NFI_t[[#This Row],[Hygiene Kit]],0)</f>
        <v>0</v>
      </c>
      <c r="U137" s="150">
        <f>IF(NFI_Expiration=1,IF($A137&lt;VLOOKUP(J$5,NFI,5,0),1,0)*Data_NFI_t[[#This Row],[NFI Core Kit]],0)</f>
        <v>0</v>
      </c>
      <c r="V137" s="131">
        <f>IF(NFI_Expiration=1,IF($A137&lt;VLOOKUP(K$5,NFI,5,0),1,0)*Data_NFI_t[[#This Row],[Sanitary Kit]],0)</f>
        <v>0</v>
      </c>
      <c r="W137" s="131">
        <f>IF(NFI_Expiration=1,IF($A137&lt;VLOOKUP(L$5,NFI,5,0),1,0)*Data_NFI_t[[#This Row],[Mosquito net]],0)</f>
        <v>0</v>
      </c>
      <c r="X137" s="131">
        <f>IF(NFI_Expiration=1,IF($A137&lt;VLOOKUP(M$5,NFI,5,0),1,0)*Data_NFI_t[[#This Row],[Tarpaulin]],0)</f>
        <v>0</v>
      </c>
      <c r="Y137" s="131">
        <f>IF(NFI_Expiration=1,IF($A137&lt;VLOOKUP(N$5,NFI,5,0),1,0)*Data_NFI_t[[#This Row],[Blanket]],0)</f>
        <v>0</v>
      </c>
      <c r="Z137" s="131">
        <f>IF(NFI_Expiration=1,IF($A137&lt;VLOOKUP(O$5,NFI,5,0),1,0)*Data_NFI_t[[#This Row],[Kitchen Set]],0)</f>
        <v>0</v>
      </c>
      <c r="AA137" s="131">
        <f>IF(NFI_Expiration=1,IF($A137&lt;VLOOKUP(P$5,NFI,5,0),1,0)*Data_NFI_t[[#This Row],[Complementary Kit]],0)</f>
        <v>0</v>
      </c>
      <c r="AB137" s="131">
        <f>IF(NFI_Expiration=1,IF($A137&lt;VLOOKUP(Q$5,NFI,5,0),1,0)*Data_NFI_t[[#This Row],[Plastic Bucket]],0)</f>
        <v>0</v>
      </c>
      <c r="AC137" s="131">
        <f>IF(NFI_Expiration=1,IF($A137&lt;VLOOKUP(R$5,NFI,5,0),1,0)*Data_NFI_t[[#This Row],[Jerry Can]],0)</f>
        <v>0</v>
      </c>
      <c r="AD137" s="150">
        <f>IF(NFI_Expiration=1,IF($A137&lt;VLOOKUP(S$5,NFI,5,0),1,0)*Data_NFI_t[[#This Row],[Plastic Mat]],0)*IF(Data_NFI_t[[#This Row],[Distribution Date]]&gt;"01-04-2014",1,2.5)</f>
        <v>0</v>
      </c>
      <c r="AE137" s="150" t="str">
        <f ca="1">IFERROR(OFFSET(Camp_List[P_Code],MATCH(Data_NFI_t[[#This Row],[Camp Name]],Camp_List[Camp Name],0)-1,0,1,1),"")</f>
        <v>MMR012CMP008</v>
      </c>
      <c r="AF137" s="714" t="str">
        <f ca="1">IFERROR(OFFSET(Camp_List[Status],MATCH(Data_NFI_t[[#This Row],[Camp Name]],Camp_List[Camp Name],0)-1,0,1,1),"")</f>
        <v>Open</v>
      </c>
    </row>
    <row r="138" spans="1:32" s="102" customFormat="1" ht="15" customHeight="1" x14ac:dyDescent="0.25">
      <c r="A138" s="265">
        <f t="shared" si="2"/>
        <v>29.166666666666668</v>
      </c>
      <c r="B138" s="265">
        <f>YEAR(Data_NFI_t[[#This Row],[Distribution Date]])</f>
        <v>2013</v>
      </c>
      <c r="C138" s="738">
        <v>41464</v>
      </c>
      <c r="D138" s="655" t="s">
        <v>288</v>
      </c>
      <c r="E138" s="654" t="s">
        <v>288</v>
      </c>
      <c r="F138" s="655" t="s">
        <v>7</v>
      </c>
      <c r="G138" s="31" t="s">
        <v>11</v>
      </c>
      <c r="H138" s="31" t="s">
        <v>31</v>
      </c>
      <c r="I138" s="31"/>
      <c r="J138" s="61">
        <v>33</v>
      </c>
      <c r="K138" s="61"/>
      <c r="L138" s="61">
        <v>66</v>
      </c>
      <c r="M138" s="61">
        <v>33</v>
      </c>
      <c r="N138" s="61">
        <v>66</v>
      </c>
      <c r="O138" s="61">
        <v>33</v>
      </c>
      <c r="P138" s="61">
        <v>33</v>
      </c>
      <c r="Q138" s="61">
        <v>33</v>
      </c>
      <c r="R138" s="708"/>
      <c r="S138" s="61">
        <v>66</v>
      </c>
      <c r="T138" s="150">
        <f>IF(NFI_Expiration=1,IF($A138&lt;VLOOKUP(I$5,NFI,5,0),1,0)*Data_NFI_t[[#This Row],[Hygiene Kit]],0)</f>
        <v>0</v>
      </c>
      <c r="U138" s="150">
        <f>IF(NFI_Expiration=1,IF($A138&lt;VLOOKUP(J$5,NFI,5,0),1,0)*Data_NFI_t[[#This Row],[NFI Core Kit]],0)</f>
        <v>0</v>
      </c>
      <c r="V138" s="131">
        <f>IF(NFI_Expiration=1,IF($A138&lt;VLOOKUP(K$5,NFI,5,0),1,0)*Data_NFI_t[[#This Row],[Sanitary Kit]],0)</f>
        <v>0</v>
      </c>
      <c r="W138" s="131">
        <f>IF(NFI_Expiration=1,IF($A138&lt;VLOOKUP(L$5,NFI,5,0),1,0)*Data_NFI_t[[#This Row],[Mosquito net]],0)</f>
        <v>0</v>
      </c>
      <c r="X138" s="131">
        <f>IF(NFI_Expiration=1,IF($A138&lt;VLOOKUP(M$5,NFI,5,0),1,0)*Data_NFI_t[[#This Row],[Tarpaulin]],0)</f>
        <v>0</v>
      </c>
      <c r="Y138" s="131">
        <f>IF(NFI_Expiration=1,IF($A138&lt;VLOOKUP(N$5,NFI,5,0),1,0)*Data_NFI_t[[#This Row],[Blanket]],0)</f>
        <v>0</v>
      </c>
      <c r="Z138" s="131">
        <f>IF(NFI_Expiration=1,IF($A138&lt;VLOOKUP(O$5,NFI,5,0),1,0)*Data_NFI_t[[#This Row],[Kitchen Set]],0)</f>
        <v>0</v>
      </c>
      <c r="AA138" s="131">
        <f>IF(NFI_Expiration=1,IF($A138&lt;VLOOKUP(P$5,NFI,5,0),1,0)*Data_NFI_t[[#This Row],[Complementary Kit]],0)</f>
        <v>0</v>
      </c>
      <c r="AB138" s="131">
        <f>IF(NFI_Expiration=1,IF($A138&lt;VLOOKUP(Q$5,NFI,5,0),1,0)*Data_NFI_t[[#This Row],[Plastic Bucket]],0)</f>
        <v>0</v>
      </c>
      <c r="AC138" s="131">
        <f>IF(NFI_Expiration=1,IF($A138&lt;VLOOKUP(R$5,NFI,5,0),1,0)*Data_NFI_t[[#This Row],[Jerry Can]],0)</f>
        <v>0</v>
      </c>
      <c r="AD138" s="150">
        <f>IF(NFI_Expiration=1,IF($A138&lt;VLOOKUP(S$5,NFI,5,0),1,0)*Data_NFI_t[[#This Row],[Plastic Mat]],0)*IF(Data_NFI_t[[#This Row],[Distribution Date]]&gt;"01-04-2014",1,2.5)</f>
        <v>0</v>
      </c>
      <c r="AE138" s="150" t="str">
        <f ca="1">IFERROR(OFFSET(Camp_List[P_Code],MATCH(Data_NFI_t[[#This Row],[Camp Name]],Camp_List[Camp Name],0)-1,0,1,1),"")</f>
        <v>MMR012CMP007</v>
      </c>
      <c r="AF138" s="714" t="str">
        <f ca="1">IFERROR(OFFSET(Camp_List[Status],MATCH(Data_NFI_t[[#This Row],[Camp Name]],Camp_List[Camp Name],0)-1,0,1,1),"")</f>
        <v>Close</v>
      </c>
    </row>
    <row r="139" spans="1:32" s="102" customFormat="1" ht="15" customHeight="1" x14ac:dyDescent="0.25">
      <c r="A139" s="265">
        <f t="shared" si="2"/>
        <v>29.166666666666668</v>
      </c>
      <c r="B139" s="265">
        <f>YEAR(Data_NFI_t[[#This Row],[Distribution Date]])</f>
        <v>2013</v>
      </c>
      <c r="C139" s="738">
        <v>41464</v>
      </c>
      <c r="D139" s="655" t="s">
        <v>288</v>
      </c>
      <c r="E139" s="654" t="s">
        <v>288</v>
      </c>
      <c r="F139" s="655" t="s">
        <v>7</v>
      </c>
      <c r="G139" s="31" t="s">
        <v>11</v>
      </c>
      <c r="H139" s="31" t="s">
        <v>31</v>
      </c>
      <c r="I139" s="31"/>
      <c r="J139" s="61"/>
      <c r="K139" s="61"/>
      <c r="L139" s="61"/>
      <c r="M139" s="61"/>
      <c r="N139" s="61"/>
      <c r="O139" s="61"/>
      <c r="P139" s="61"/>
      <c r="Q139" s="61"/>
      <c r="R139" s="708"/>
      <c r="S139" s="61"/>
      <c r="T139" s="150">
        <f>IF(NFI_Expiration=1,IF($A139&lt;VLOOKUP(I$5,NFI,5,0),1,0)*Data_NFI_t[[#This Row],[Hygiene Kit]],0)</f>
        <v>0</v>
      </c>
      <c r="U139" s="150">
        <f>IF(NFI_Expiration=1,IF($A139&lt;VLOOKUP(J$5,NFI,5,0),1,0)*Data_NFI_t[[#This Row],[NFI Core Kit]],0)</f>
        <v>0</v>
      </c>
      <c r="V139" s="131">
        <f>IF(NFI_Expiration=1,IF($A139&lt;VLOOKUP(K$5,NFI,5,0),1,0)*Data_NFI_t[[#This Row],[Sanitary Kit]],0)</f>
        <v>0</v>
      </c>
      <c r="W139" s="131">
        <f>IF(NFI_Expiration=1,IF($A139&lt;VLOOKUP(L$5,NFI,5,0),1,0)*Data_NFI_t[[#This Row],[Mosquito net]],0)</f>
        <v>0</v>
      </c>
      <c r="X139" s="131">
        <f>IF(NFI_Expiration=1,IF($A139&lt;VLOOKUP(M$5,NFI,5,0),1,0)*Data_NFI_t[[#This Row],[Tarpaulin]],0)</f>
        <v>0</v>
      </c>
      <c r="Y139" s="131">
        <f>IF(NFI_Expiration=1,IF($A139&lt;VLOOKUP(N$5,NFI,5,0),1,0)*Data_NFI_t[[#This Row],[Blanket]],0)</f>
        <v>0</v>
      </c>
      <c r="Z139" s="131">
        <f>IF(NFI_Expiration=1,IF($A139&lt;VLOOKUP(O$5,NFI,5,0),1,0)*Data_NFI_t[[#This Row],[Kitchen Set]],0)</f>
        <v>0</v>
      </c>
      <c r="AA139" s="131">
        <f>IF(NFI_Expiration=1,IF($A139&lt;VLOOKUP(P$5,NFI,5,0),1,0)*Data_NFI_t[[#This Row],[Complementary Kit]],0)</f>
        <v>0</v>
      </c>
      <c r="AB139" s="131">
        <f>IF(NFI_Expiration=1,IF($A139&lt;VLOOKUP(Q$5,NFI,5,0),1,0)*Data_NFI_t[[#This Row],[Plastic Bucket]],0)</f>
        <v>0</v>
      </c>
      <c r="AC139" s="131">
        <f>IF(NFI_Expiration=1,IF($A139&lt;VLOOKUP(R$5,NFI,5,0),1,0)*Data_NFI_t[[#This Row],[Jerry Can]],0)</f>
        <v>0</v>
      </c>
      <c r="AD139" s="150">
        <f>IF(NFI_Expiration=1,IF($A139&lt;VLOOKUP(S$5,NFI,5,0),1,0)*Data_NFI_t[[#This Row],[Plastic Mat]],0)*IF(Data_NFI_t[[#This Row],[Distribution Date]]&gt;"01-04-2014",1,2.5)</f>
        <v>0</v>
      </c>
      <c r="AE139" s="150" t="str">
        <f ca="1">IFERROR(OFFSET(Camp_List[P_Code],MATCH(Data_NFI_t[[#This Row],[Camp Name]],Camp_List[Camp Name],0)-1,0,1,1),"")</f>
        <v>MMR012CMP007</v>
      </c>
      <c r="AF139" s="714" t="str">
        <f ca="1">IFERROR(OFFSET(Camp_List[Status],MATCH(Data_NFI_t[[#This Row],[Camp Name]],Camp_List[Camp Name],0)-1,0,1,1),"")</f>
        <v>Close</v>
      </c>
    </row>
    <row r="140" spans="1:32" s="102" customFormat="1" ht="15" customHeight="1" x14ac:dyDescent="0.25">
      <c r="A140" s="265">
        <f t="shared" si="2"/>
        <v>29.266666666666666</v>
      </c>
      <c r="B140" s="265">
        <f>YEAR(Data_NFI_t[[#This Row],[Distribution Date]])</f>
        <v>2013</v>
      </c>
      <c r="C140" s="738">
        <v>41461</v>
      </c>
      <c r="D140" s="655" t="s">
        <v>288</v>
      </c>
      <c r="E140" s="654" t="s">
        <v>288</v>
      </c>
      <c r="F140" s="655" t="s">
        <v>7</v>
      </c>
      <c r="G140" s="31" t="s">
        <v>12</v>
      </c>
      <c r="H140" s="31" t="s">
        <v>33</v>
      </c>
      <c r="I140" s="31"/>
      <c r="J140" s="61"/>
      <c r="K140" s="61"/>
      <c r="L140" s="61">
        <v>600</v>
      </c>
      <c r="M140" s="61">
        <v>5</v>
      </c>
      <c r="N140" s="61">
        <v>600</v>
      </c>
      <c r="O140" s="61">
        <v>300</v>
      </c>
      <c r="P140" s="61">
        <v>300</v>
      </c>
      <c r="Q140" s="61">
        <v>300</v>
      </c>
      <c r="R140" s="708"/>
      <c r="S140" s="61">
        <v>600</v>
      </c>
      <c r="T140" s="150">
        <f>IF(NFI_Expiration=1,IF($A140&lt;VLOOKUP(I$5,NFI,5,0),1,0)*Data_NFI_t[[#This Row],[Hygiene Kit]],0)</f>
        <v>0</v>
      </c>
      <c r="U140" s="150">
        <f>IF(NFI_Expiration=1,IF($A140&lt;VLOOKUP(J$5,NFI,5,0),1,0)*Data_NFI_t[[#This Row],[NFI Core Kit]],0)</f>
        <v>0</v>
      </c>
      <c r="V140" s="131">
        <f>IF(NFI_Expiration=1,IF($A140&lt;VLOOKUP(K$5,NFI,5,0),1,0)*Data_NFI_t[[#This Row],[Sanitary Kit]],0)</f>
        <v>0</v>
      </c>
      <c r="W140" s="131">
        <f>IF(NFI_Expiration=1,IF($A140&lt;VLOOKUP(L$5,NFI,5,0),1,0)*Data_NFI_t[[#This Row],[Mosquito net]],0)</f>
        <v>0</v>
      </c>
      <c r="X140" s="131">
        <f>IF(NFI_Expiration=1,IF($A140&lt;VLOOKUP(M$5,NFI,5,0),1,0)*Data_NFI_t[[#This Row],[Tarpaulin]],0)</f>
        <v>0</v>
      </c>
      <c r="Y140" s="131">
        <f>IF(NFI_Expiration=1,IF($A140&lt;VLOOKUP(N$5,NFI,5,0),1,0)*Data_NFI_t[[#This Row],[Blanket]],0)</f>
        <v>0</v>
      </c>
      <c r="Z140" s="131">
        <f>IF(NFI_Expiration=1,IF($A140&lt;VLOOKUP(O$5,NFI,5,0),1,0)*Data_NFI_t[[#This Row],[Kitchen Set]],0)</f>
        <v>0</v>
      </c>
      <c r="AA140" s="131">
        <f>IF(NFI_Expiration=1,IF($A140&lt;VLOOKUP(P$5,NFI,5,0),1,0)*Data_NFI_t[[#This Row],[Complementary Kit]],0)</f>
        <v>0</v>
      </c>
      <c r="AB140" s="131">
        <f>IF(NFI_Expiration=1,IF($A140&lt;VLOOKUP(Q$5,NFI,5,0),1,0)*Data_NFI_t[[#This Row],[Plastic Bucket]],0)</f>
        <v>0</v>
      </c>
      <c r="AC140" s="131">
        <f>IF(NFI_Expiration=1,IF($A140&lt;VLOOKUP(R$5,NFI,5,0),1,0)*Data_NFI_t[[#This Row],[Jerry Can]],0)</f>
        <v>0</v>
      </c>
      <c r="AD140" s="150">
        <f>IF(NFI_Expiration=1,IF($A140&lt;VLOOKUP(S$5,NFI,5,0),1,0)*Data_NFI_t[[#This Row],[Plastic Mat]],0)*IF(Data_NFI_t[[#This Row],[Distribution Date]]&gt;"01-04-2014",1,2.5)</f>
        <v>0</v>
      </c>
      <c r="AE140" s="150" t="str">
        <f ca="1">IFERROR(OFFSET(Camp_List[P_Code],MATCH(Data_NFI_t[[#This Row],[Camp Name]],Camp_List[Camp Name],0)-1,0,1,1),"")</f>
        <v>MMR012CMP009</v>
      </c>
      <c r="AF140" s="714" t="str">
        <f ca="1">IFERROR(OFFSET(Camp_List[Status],MATCH(Data_NFI_t[[#This Row],[Camp Name]],Camp_List[Camp Name],0)-1,0,1,1),"")</f>
        <v>Open</v>
      </c>
    </row>
    <row r="141" spans="1:32" s="102" customFormat="1" ht="15" customHeight="1" x14ac:dyDescent="0.25">
      <c r="A141" s="265">
        <f t="shared" si="2"/>
        <v>29.266666666666666</v>
      </c>
      <c r="B141" s="265">
        <f>YEAR(Data_NFI_t[[#This Row],[Distribution Date]])</f>
        <v>2013</v>
      </c>
      <c r="C141" s="738">
        <v>41461</v>
      </c>
      <c r="D141" s="655" t="s">
        <v>288</v>
      </c>
      <c r="E141" s="654" t="s">
        <v>288</v>
      </c>
      <c r="F141" s="655" t="s">
        <v>7</v>
      </c>
      <c r="G141" s="31" t="s">
        <v>11</v>
      </c>
      <c r="H141" s="31" t="s">
        <v>29</v>
      </c>
      <c r="I141" s="31"/>
      <c r="J141" s="61"/>
      <c r="K141" s="61"/>
      <c r="L141" s="61">
        <v>458</v>
      </c>
      <c r="M141" s="61"/>
      <c r="N141" s="61">
        <v>458</v>
      </c>
      <c r="O141" s="61">
        <v>229</v>
      </c>
      <c r="P141" s="61">
        <v>229</v>
      </c>
      <c r="Q141" s="61">
        <v>229</v>
      </c>
      <c r="R141" s="708"/>
      <c r="S141" s="61">
        <v>458</v>
      </c>
      <c r="T141" s="150">
        <f>IF(NFI_Expiration=1,IF($A141&lt;VLOOKUP(I$5,NFI,5,0),1,0)*Data_NFI_t[[#This Row],[Hygiene Kit]],0)</f>
        <v>0</v>
      </c>
      <c r="U141" s="150">
        <f>IF(NFI_Expiration=1,IF($A141&lt;VLOOKUP(J$5,NFI,5,0),1,0)*Data_NFI_t[[#This Row],[NFI Core Kit]],0)</f>
        <v>0</v>
      </c>
      <c r="V141" s="131">
        <f>IF(NFI_Expiration=1,IF($A141&lt;VLOOKUP(K$5,NFI,5,0),1,0)*Data_NFI_t[[#This Row],[Sanitary Kit]],0)</f>
        <v>0</v>
      </c>
      <c r="W141" s="131">
        <f>IF(NFI_Expiration=1,IF($A141&lt;VLOOKUP(L$5,NFI,5,0),1,0)*Data_NFI_t[[#This Row],[Mosquito net]],0)</f>
        <v>0</v>
      </c>
      <c r="X141" s="131">
        <f>IF(NFI_Expiration=1,IF($A141&lt;VLOOKUP(M$5,NFI,5,0),1,0)*Data_NFI_t[[#This Row],[Tarpaulin]],0)</f>
        <v>0</v>
      </c>
      <c r="Y141" s="131">
        <f>IF(NFI_Expiration=1,IF($A141&lt;VLOOKUP(N$5,NFI,5,0),1,0)*Data_NFI_t[[#This Row],[Blanket]],0)</f>
        <v>0</v>
      </c>
      <c r="Z141" s="131">
        <f>IF(NFI_Expiration=1,IF($A141&lt;VLOOKUP(O$5,NFI,5,0),1,0)*Data_NFI_t[[#This Row],[Kitchen Set]],0)</f>
        <v>0</v>
      </c>
      <c r="AA141" s="131">
        <f>IF(NFI_Expiration=1,IF($A141&lt;VLOOKUP(P$5,NFI,5,0),1,0)*Data_NFI_t[[#This Row],[Complementary Kit]],0)</f>
        <v>0</v>
      </c>
      <c r="AB141" s="131">
        <f>IF(NFI_Expiration=1,IF($A141&lt;VLOOKUP(Q$5,NFI,5,0),1,0)*Data_NFI_t[[#This Row],[Plastic Bucket]],0)</f>
        <v>0</v>
      </c>
      <c r="AC141" s="131">
        <f>IF(NFI_Expiration=1,IF($A141&lt;VLOOKUP(R$5,NFI,5,0),1,0)*Data_NFI_t[[#This Row],[Jerry Can]],0)</f>
        <v>0</v>
      </c>
      <c r="AD141" s="150">
        <f>IF(NFI_Expiration=1,IF($A141&lt;VLOOKUP(S$5,NFI,5,0),1,0)*Data_NFI_t[[#This Row],[Plastic Mat]],0)*IF(Data_NFI_t[[#This Row],[Distribution Date]]&gt;"01-04-2014",1,2.5)</f>
        <v>0</v>
      </c>
      <c r="AE141" s="150" t="str">
        <f ca="1">IFERROR(OFFSET(Camp_List[P_Code],MATCH(Data_NFI_t[[#This Row],[Camp Name]],Camp_List[Camp Name],0)-1,0,1,1),"")</f>
        <v>MMR012CMP005</v>
      </c>
      <c r="AF141" s="714" t="str">
        <f ca="1">IFERROR(OFFSET(Camp_List[Status],MATCH(Data_NFI_t[[#This Row],[Camp Name]],Camp_List[Camp Name],0)-1,0,1,1),"")</f>
        <v>Open</v>
      </c>
    </row>
    <row r="142" spans="1:32" s="102" customFormat="1" ht="15" customHeight="1" x14ac:dyDescent="0.25">
      <c r="A142" s="265">
        <f t="shared" si="2"/>
        <v>29.266666666666666</v>
      </c>
      <c r="B142" s="265">
        <f>YEAR(Data_NFI_t[[#This Row],[Distribution Date]])</f>
        <v>2013</v>
      </c>
      <c r="C142" s="738">
        <v>41461</v>
      </c>
      <c r="D142" s="655" t="s">
        <v>288</v>
      </c>
      <c r="E142" s="654" t="s">
        <v>288</v>
      </c>
      <c r="F142" s="655" t="s">
        <v>7</v>
      </c>
      <c r="G142" s="31" t="s">
        <v>12</v>
      </c>
      <c r="H142" s="31" t="s">
        <v>34</v>
      </c>
      <c r="I142" s="31"/>
      <c r="J142" s="61"/>
      <c r="K142" s="61"/>
      <c r="L142" s="61">
        <v>730</v>
      </c>
      <c r="M142" s="61"/>
      <c r="N142" s="61">
        <v>730</v>
      </c>
      <c r="O142" s="61">
        <v>365</v>
      </c>
      <c r="P142" s="61">
        <v>365</v>
      </c>
      <c r="Q142" s="61">
        <v>365</v>
      </c>
      <c r="R142" s="708"/>
      <c r="S142" s="61">
        <v>730</v>
      </c>
      <c r="T142" s="150">
        <f>IF(NFI_Expiration=1,IF($A142&lt;VLOOKUP(I$5,NFI,5,0),1,0)*Data_NFI_t[[#This Row],[Hygiene Kit]],0)</f>
        <v>0</v>
      </c>
      <c r="U142" s="150">
        <f>IF(NFI_Expiration=1,IF($A142&lt;VLOOKUP(J$5,NFI,5,0),1,0)*Data_NFI_t[[#This Row],[NFI Core Kit]],0)</f>
        <v>0</v>
      </c>
      <c r="V142" s="131">
        <f>IF(NFI_Expiration=1,IF($A142&lt;VLOOKUP(K$5,NFI,5,0),1,0)*Data_NFI_t[[#This Row],[Sanitary Kit]],0)</f>
        <v>0</v>
      </c>
      <c r="W142" s="131">
        <f>IF(NFI_Expiration=1,IF($A142&lt;VLOOKUP(L$5,NFI,5,0),1,0)*Data_NFI_t[[#This Row],[Mosquito net]],0)</f>
        <v>0</v>
      </c>
      <c r="X142" s="131">
        <f>IF(NFI_Expiration=1,IF($A142&lt;VLOOKUP(M$5,NFI,5,0),1,0)*Data_NFI_t[[#This Row],[Tarpaulin]],0)</f>
        <v>0</v>
      </c>
      <c r="Y142" s="131">
        <f>IF(NFI_Expiration=1,IF($A142&lt;VLOOKUP(N$5,NFI,5,0),1,0)*Data_NFI_t[[#This Row],[Blanket]],0)</f>
        <v>0</v>
      </c>
      <c r="Z142" s="131">
        <f>IF(NFI_Expiration=1,IF($A142&lt;VLOOKUP(O$5,NFI,5,0),1,0)*Data_NFI_t[[#This Row],[Kitchen Set]],0)</f>
        <v>0</v>
      </c>
      <c r="AA142" s="131">
        <f>IF(NFI_Expiration=1,IF($A142&lt;VLOOKUP(P$5,NFI,5,0),1,0)*Data_NFI_t[[#This Row],[Complementary Kit]],0)</f>
        <v>0</v>
      </c>
      <c r="AB142" s="131">
        <f>IF(NFI_Expiration=1,IF($A142&lt;VLOOKUP(Q$5,NFI,5,0),1,0)*Data_NFI_t[[#This Row],[Plastic Bucket]],0)</f>
        <v>0</v>
      </c>
      <c r="AC142" s="131">
        <f>IF(NFI_Expiration=1,IF($A142&lt;VLOOKUP(R$5,NFI,5,0),1,0)*Data_NFI_t[[#This Row],[Jerry Can]],0)</f>
        <v>0</v>
      </c>
      <c r="AD142" s="150">
        <f>IF(NFI_Expiration=1,IF($A142&lt;VLOOKUP(S$5,NFI,5,0),1,0)*Data_NFI_t[[#This Row],[Plastic Mat]],0)*IF(Data_NFI_t[[#This Row],[Distribution Date]]&gt;"01-04-2014",1,2.5)</f>
        <v>0</v>
      </c>
      <c r="AE142" s="150" t="str">
        <f ca="1">IFERROR(OFFSET(Camp_List[P_Code],MATCH(Data_NFI_t[[#This Row],[Camp Name]],Camp_List[Camp Name],0)-1,0,1,1),"")</f>
        <v>MMR012CMP010</v>
      </c>
      <c r="AF142" s="714" t="str">
        <f ca="1">IFERROR(OFFSET(Camp_List[Status],MATCH(Data_NFI_t[[#This Row],[Camp Name]],Camp_List[Camp Name],0)-1,0,1,1),"")</f>
        <v>Open</v>
      </c>
    </row>
    <row r="143" spans="1:32" s="102" customFormat="1" ht="15" customHeight="1" x14ac:dyDescent="0.25">
      <c r="A143" s="265">
        <f t="shared" si="2"/>
        <v>29.433333333333334</v>
      </c>
      <c r="B143" s="265">
        <f>YEAR(Data_NFI_t[[#This Row],[Distribution Date]])</f>
        <v>2013</v>
      </c>
      <c r="C143" s="738">
        <v>41456</v>
      </c>
      <c r="D143" s="655" t="s">
        <v>288</v>
      </c>
      <c r="E143" s="654" t="s">
        <v>288</v>
      </c>
      <c r="F143" s="655" t="s">
        <v>7</v>
      </c>
      <c r="G143" s="31" t="s">
        <v>15</v>
      </c>
      <c r="H143" s="31" t="s">
        <v>48</v>
      </c>
      <c r="I143" s="31"/>
      <c r="J143" s="61"/>
      <c r="K143" s="61"/>
      <c r="L143" s="61">
        <v>224</v>
      </c>
      <c r="M143" s="61">
        <v>400</v>
      </c>
      <c r="N143" s="61">
        <v>224</v>
      </c>
      <c r="O143" s="61">
        <v>112</v>
      </c>
      <c r="P143" s="61">
        <v>112</v>
      </c>
      <c r="Q143" s="61">
        <v>112</v>
      </c>
      <c r="R143" s="708"/>
      <c r="S143" s="61">
        <v>224</v>
      </c>
      <c r="T143" s="150">
        <f>IF(NFI_Expiration=1,IF($A143&lt;VLOOKUP(I$5,NFI,5,0),1,0)*Data_NFI_t[[#This Row],[Hygiene Kit]],0)</f>
        <v>0</v>
      </c>
      <c r="U143" s="150">
        <f>IF(NFI_Expiration=1,IF($A143&lt;VLOOKUP(J$5,NFI,5,0),1,0)*Data_NFI_t[[#This Row],[NFI Core Kit]],0)</f>
        <v>0</v>
      </c>
      <c r="V143" s="131">
        <f>IF(NFI_Expiration=1,IF($A143&lt;VLOOKUP(K$5,NFI,5,0),1,0)*Data_NFI_t[[#This Row],[Sanitary Kit]],0)</f>
        <v>0</v>
      </c>
      <c r="W143" s="131">
        <f>IF(NFI_Expiration=1,IF($A143&lt;VLOOKUP(L$5,NFI,5,0),1,0)*Data_NFI_t[[#This Row],[Mosquito net]],0)</f>
        <v>0</v>
      </c>
      <c r="X143" s="131">
        <f>IF(NFI_Expiration=1,IF($A143&lt;VLOOKUP(M$5,NFI,5,0),1,0)*Data_NFI_t[[#This Row],[Tarpaulin]],0)</f>
        <v>0</v>
      </c>
      <c r="Y143" s="131">
        <f>IF(NFI_Expiration=1,IF($A143&lt;VLOOKUP(N$5,NFI,5,0),1,0)*Data_NFI_t[[#This Row],[Blanket]],0)</f>
        <v>0</v>
      </c>
      <c r="Z143" s="131">
        <f>IF(NFI_Expiration=1,IF($A143&lt;VLOOKUP(O$5,NFI,5,0),1,0)*Data_NFI_t[[#This Row],[Kitchen Set]],0)</f>
        <v>0</v>
      </c>
      <c r="AA143" s="131">
        <f>IF(NFI_Expiration=1,IF($A143&lt;VLOOKUP(P$5,NFI,5,0),1,0)*Data_NFI_t[[#This Row],[Complementary Kit]],0)</f>
        <v>0</v>
      </c>
      <c r="AB143" s="131">
        <f>IF(NFI_Expiration=1,IF($A143&lt;VLOOKUP(Q$5,NFI,5,0),1,0)*Data_NFI_t[[#This Row],[Plastic Bucket]],0)</f>
        <v>0</v>
      </c>
      <c r="AC143" s="131">
        <f>IF(NFI_Expiration=1,IF($A143&lt;VLOOKUP(R$5,NFI,5,0),1,0)*Data_NFI_t[[#This Row],[Jerry Can]],0)</f>
        <v>0</v>
      </c>
      <c r="AD143" s="150">
        <f>IF(NFI_Expiration=1,IF($A143&lt;VLOOKUP(S$5,NFI,5,0),1,0)*Data_NFI_t[[#This Row],[Plastic Mat]],0)*IF(Data_NFI_t[[#This Row],[Distribution Date]]&gt;"01-04-2014",1,2.5)</f>
        <v>0</v>
      </c>
      <c r="AE143" s="150" t="str">
        <f ca="1">IFERROR(OFFSET(Camp_List[P_Code],MATCH(Data_NFI_t[[#This Row],[Camp Name]],Camp_List[Camp Name],0)-1,0,1,1),"")</f>
        <v>MMR012CMP024</v>
      </c>
      <c r="AF143" s="714" t="str">
        <f ca="1">IFERROR(OFFSET(Camp_List[Status],MATCH(Data_NFI_t[[#This Row],[Camp Name]],Camp_List[Camp Name],0)-1,0,1,1),"")</f>
        <v>Open</v>
      </c>
    </row>
    <row r="144" spans="1:32" s="102" customFormat="1" ht="15" customHeight="1" x14ac:dyDescent="0.25">
      <c r="A144" s="265">
        <f t="shared" si="2"/>
        <v>29.433333333333334</v>
      </c>
      <c r="B144" s="265">
        <f>YEAR(Data_NFI_t[[#This Row],[Distribution Date]])</f>
        <v>2013</v>
      </c>
      <c r="C144" s="738">
        <v>41456</v>
      </c>
      <c r="D144" s="655" t="s">
        <v>288</v>
      </c>
      <c r="E144" s="654" t="s">
        <v>288</v>
      </c>
      <c r="F144" s="655" t="s">
        <v>7</v>
      </c>
      <c r="G144" s="31" t="s">
        <v>15</v>
      </c>
      <c r="H144" s="31" t="s">
        <v>51</v>
      </c>
      <c r="I144" s="31"/>
      <c r="J144" s="61"/>
      <c r="K144" s="61"/>
      <c r="L144" s="61">
        <v>232</v>
      </c>
      <c r="M144" s="61">
        <v>220</v>
      </c>
      <c r="N144" s="61">
        <v>232</v>
      </c>
      <c r="O144" s="61">
        <v>116</v>
      </c>
      <c r="P144" s="61">
        <v>116</v>
      </c>
      <c r="Q144" s="61">
        <v>116</v>
      </c>
      <c r="R144" s="708"/>
      <c r="S144" s="61">
        <v>232</v>
      </c>
      <c r="T144" s="150">
        <f>IF(NFI_Expiration=1,IF($A144&lt;VLOOKUP(I$5,NFI,5,0),1,0)*Data_NFI_t[[#This Row],[Hygiene Kit]],0)</f>
        <v>0</v>
      </c>
      <c r="U144" s="150">
        <f>IF(NFI_Expiration=1,IF($A144&lt;VLOOKUP(J$5,NFI,5,0),1,0)*Data_NFI_t[[#This Row],[NFI Core Kit]],0)</f>
        <v>0</v>
      </c>
      <c r="V144" s="131">
        <f>IF(NFI_Expiration=1,IF($A144&lt;VLOOKUP(K$5,NFI,5,0),1,0)*Data_NFI_t[[#This Row],[Sanitary Kit]],0)</f>
        <v>0</v>
      </c>
      <c r="W144" s="131">
        <f>IF(NFI_Expiration=1,IF($A144&lt;VLOOKUP(L$5,NFI,5,0),1,0)*Data_NFI_t[[#This Row],[Mosquito net]],0)</f>
        <v>0</v>
      </c>
      <c r="X144" s="131">
        <f>IF(NFI_Expiration=1,IF($A144&lt;VLOOKUP(M$5,NFI,5,0),1,0)*Data_NFI_t[[#This Row],[Tarpaulin]],0)</f>
        <v>0</v>
      </c>
      <c r="Y144" s="131">
        <f>IF(NFI_Expiration=1,IF($A144&lt;VLOOKUP(N$5,NFI,5,0),1,0)*Data_NFI_t[[#This Row],[Blanket]],0)</f>
        <v>0</v>
      </c>
      <c r="Z144" s="131">
        <f>IF(NFI_Expiration=1,IF($A144&lt;VLOOKUP(O$5,NFI,5,0),1,0)*Data_NFI_t[[#This Row],[Kitchen Set]],0)</f>
        <v>0</v>
      </c>
      <c r="AA144" s="131">
        <f>IF(NFI_Expiration=1,IF($A144&lt;VLOOKUP(P$5,NFI,5,0),1,0)*Data_NFI_t[[#This Row],[Complementary Kit]],0)</f>
        <v>0</v>
      </c>
      <c r="AB144" s="131">
        <f>IF(NFI_Expiration=1,IF($A144&lt;VLOOKUP(Q$5,NFI,5,0),1,0)*Data_NFI_t[[#This Row],[Plastic Bucket]],0)</f>
        <v>0</v>
      </c>
      <c r="AC144" s="131">
        <f>IF(NFI_Expiration=1,IF($A144&lt;VLOOKUP(R$5,NFI,5,0),1,0)*Data_NFI_t[[#This Row],[Jerry Can]],0)</f>
        <v>0</v>
      </c>
      <c r="AD144" s="150">
        <f>IF(NFI_Expiration=1,IF($A144&lt;VLOOKUP(S$5,NFI,5,0),1,0)*Data_NFI_t[[#This Row],[Plastic Mat]],0)*IF(Data_NFI_t[[#This Row],[Distribution Date]]&gt;"01-04-2014",1,2.5)</f>
        <v>0</v>
      </c>
      <c r="AE144" s="150" t="str">
        <f ca="1">IFERROR(OFFSET(Camp_List[P_Code],MATCH(Data_NFI_t[[#This Row],[Camp Name]],Camp_List[Camp Name],0)-1,0,1,1),"")</f>
        <v>MMR012CMP027</v>
      </c>
      <c r="AF144" s="714" t="str">
        <f ca="1">IFERROR(OFFSET(Camp_List[Status],MATCH(Data_NFI_t[[#This Row],[Camp Name]],Camp_List[Camp Name],0)-1,0,1,1),"")</f>
        <v>Open</v>
      </c>
    </row>
    <row r="145" spans="1:32" s="102" customFormat="1" ht="15" customHeight="1" x14ac:dyDescent="0.25">
      <c r="A145" s="265">
        <f t="shared" si="2"/>
        <v>29.433333333333334</v>
      </c>
      <c r="B145" s="265">
        <f>YEAR(Data_NFI_t[[#This Row],[Distribution Date]])</f>
        <v>2013</v>
      </c>
      <c r="C145" s="738">
        <v>41456</v>
      </c>
      <c r="D145" s="655" t="s">
        <v>288</v>
      </c>
      <c r="E145" s="654" t="s">
        <v>288</v>
      </c>
      <c r="F145" s="655" t="s">
        <v>7</v>
      </c>
      <c r="G145" s="31" t="s">
        <v>15</v>
      </c>
      <c r="H145" s="31" t="s">
        <v>50</v>
      </c>
      <c r="I145" s="31"/>
      <c r="J145" s="61"/>
      <c r="K145" s="61"/>
      <c r="L145" s="61">
        <v>460</v>
      </c>
      <c r="M145" s="61">
        <v>145</v>
      </c>
      <c r="N145" s="61">
        <v>460</v>
      </c>
      <c r="O145" s="61">
        <v>230</v>
      </c>
      <c r="P145" s="61">
        <v>230</v>
      </c>
      <c r="Q145" s="61">
        <v>230</v>
      </c>
      <c r="R145" s="708"/>
      <c r="S145" s="61">
        <v>460</v>
      </c>
      <c r="T145" s="150">
        <f>IF(NFI_Expiration=1,IF($A145&lt;VLOOKUP(I$5,NFI,5,0),1,0)*Data_NFI_t[[#This Row],[Hygiene Kit]],0)</f>
        <v>0</v>
      </c>
      <c r="U145" s="150">
        <f>IF(NFI_Expiration=1,IF($A145&lt;VLOOKUP(J$5,NFI,5,0),1,0)*Data_NFI_t[[#This Row],[NFI Core Kit]],0)</f>
        <v>0</v>
      </c>
      <c r="V145" s="131">
        <f>IF(NFI_Expiration=1,IF($A145&lt;VLOOKUP(K$5,NFI,5,0),1,0)*Data_NFI_t[[#This Row],[Sanitary Kit]],0)</f>
        <v>0</v>
      </c>
      <c r="W145" s="131">
        <f>IF(NFI_Expiration=1,IF($A145&lt;VLOOKUP(L$5,NFI,5,0),1,0)*Data_NFI_t[[#This Row],[Mosquito net]],0)</f>
        <v>0</v>
      </c>
      <c r="X145" s="131">
        <f>IF(NFI_Expiration=1,IF($A145&lt;VLOOKUP(M$5,NFI,5,0),1,0)*Data_NFI_t[[#This Row],[Tarpaulin]],0)</f>
        <v>0</v>
      </c>
      <c r="Y145" s="131">
        <f>IF(NFI_Expiration=1,IF($A145&lt;VLOOKUP(N$5,NFI,5,0),1,0)*Data_NFI_t[[#This Row],[Blanket]],0)</f>
        <v>0</v>
      </c>
      <c r="Z145" s="131">
        <f>IF(NFI_Expiration=1,IF($A145&lt;VLOOKUP(O$5,NFI,5,0),1,0)*Data_NFI_t[[#This Row],[Kitchen Set]],0)</f>
        <v>0</v>
      </c>
      <c r="AA145" s="131">
        <f>IF(NFI_Expiration=1,IF($A145&lt;VLOOKUP(P$5,NFI,5,0),1,0)*Data_NFI_t[[#This Row],[Complementary Kit]],0)</f>
        <v>0</v>
      </c>
      <c r="AB145" s="131">
        <f>IF(NFI_Expiration=1,IF($A145&lt;VLOOKUP(Q$5,NFI,5,0),1,0)*Data_NFI_t[[#This Row],[Plastic Bucket]],0)</f>
        <v>0</v>
      </c>
      <c r="AC145" s="131">
        <f>IF(NFI_Expiration=1,IF($A145&lt;VLOOKUP(R$5,NFI,5,0),1,0)*Data_NFI_t[[#This Row],[Jerry Can]],0)</f>
        <v>0</v>
      </c>
      <c r="AD145" s="150">
        <f>IF(NFI_Expiration=1,IF($A145&lt;VLOOKUP(S$5,NFI,5,0),1,0)*Data_NFI_t[[#This Row],[Plastic Mat]],0)*IF(Data_NFI_t[[#This Row],[Distribution Date]]&gt;"01-04-2014",1,2.5)</f>
        <v>0</v>
      </c>
      <c r="AE145" s="150" t="str">
        <f ca="1">IFERROR(OFFSET(Camp_List[P_Code],MATCH(Data_NFI_t[[#This Row],[Camp Name]],Camp_List[Camp Name],0)-1,0,1,1),"")</f>
        <v>MMR012CMP026</v>
      </c>
      <c r="AF145" s="714" t="str">
        <f ca="1">IFERROR(OFFSET(Camp_List[Status],MATCH(Data_NFI_t[[#This Row],[Camp Name]],Camp_List[Camp Name],0)-1,0,1,1),"")</f>
        <v>Open</v>
      </c>
    </row>
    <row r="146" spans="1:32" s="102" customFormat="1" ht="15" customHeight="1" x14ac:dyDescent="0.25">
      <c r="A146" s="265">
        <f t="shared" si="2"/>
        <v>29.433333333333334</v>
      </c>
      <c r="B146" s="265">
        <f>YEAR(Data_NFI_t[[#This Row],[Distribution Date]])</f>
        <v>2013</v>
      </c>
      <c r="C146" s="738">
        <v>41456</v>
      </c>
      <c r="D146" s="655" t="s">
        <v>288</v>
      </c>
      <c r="E146" s="654" t="s">
        <v>288</v>
      </c>
      <c r="F146" s="655" t="s">
        <v>7</v>
      </c>
      <c r="G146" s="31" t="s">
        <v>15</v>
      </c>
      <c r="H146" s="31" t="s">
        <v>54</v>
      </c>
      <c r="I146" s="31"/>
      <c r="J146" s="61"/>
      <c r="K146" s="61"/>
      <c r="L146" s="61">
        <v>318</v>
      </c>
      <c r="M146" s="61">
        <v>4</v>
      </c>
      <c r="N146" s="61">
        <v>318</v>
      </c>
      <c r="O146" s="61">
        <v>159</v>
      </c>
      <c r="P146" s="61">
        <v>159</v>
      </c>
      <c r="Q146" s="61">
        <v>159</v>
      </c>
      <c r="R146" s="708"/>
      <c r="S146" s="61">
        <v>318</v>
      </c>
      <c r="T146" s="150">
        <f>IF(NFI_Expiration=1,IF($A146&lt;VLOOKUP(I$5,NFI,5,0),1,0)*Data_NFI_t[[#This Row],[Hygiene Kit]],0)</f>
        <v>0</v>
      </c>
      <c r="U146" s="150">
        <f>IF(NFI_Expiration=1,IF($A146&lt;VLOOKUP(J$5,NFI,5,0),1,0)*Data_NFI_t[[#This Row],[NFI Core Kit]],0)</f>
        <v>0</v>
      </c>
      <c r="V146" s="131">
        <f>IF(NFI_Expiration=1,IF($A146&lt;VLOOKUP(K$5,NFI,5,0),1,0)*Data_NFI_t[[#This Row],[Sanitary Kit]],0)</f>
        <v>0</v>
      </c>
      <c r="W146" s="131">
        <f>IF(NFI_Expiration=1,IF($A146&lt;VLOOKUP(L$5,NFI,5,0),1,0)*Data_NFI_t[[#This Row],[Mosquito net]],0)</f>
        <v>0</v>
      </c>
      <c r="X146" s="131">
        <f>IF(NFI_Expiration=1,IF($A146&lt;VLOOKUP(M$5,NFI,5,0),1,0)*Data_NFI_t[[#This Row],[Tarpaulin]],0)</f>
        <v>0</v>
      </c>
      <c r="Y146" s="131">
        <f>IF(NFI_Expiration=1,IF($A146&lt;VLOOKUP(N$5,NFI,5,0),1,0)*Data_NFI_t[[#This Row],[Blanket]],0)</f>
        <v>0</v>
      </c>
      <c r="Z146" s="131">
        <f>IF(NFI_Expiration=1,IF($A146&lt;VLOOKUP(O$5,NFI,5,0),1,0)*Data_NFI_t[[#This Row],[Kitchen Set]],0)</f>
        <v>0</v>
      </c>
      <c r="AA146" s="131">
        <f>IF(NFI_Expiration=1,IF($A146&lt;VLOOKUP(P$5,NFI,5,0),1,0)*Data_NFI_t[[#This Row],[Complementary Kit]],0)</f>
        <v>0</v>
      </c>
      <c r="AB146" s="131">
        <f>IF(NFI_Expiration=1,IF($A146&lt;VLOOKUP(Q$5,NFI,5,0),1,0)*Data_NFI_t[[#This Row],[Plastic Bucket]],0)</f>
        <v>0</v>
      </c>
      <c r="AC146" s="131">
        <f>IF(NFI_Expiration=1,IF($A146&lt;VLOOKUP(R$5,NFI,5,0),1,0)*Data_NFI_t[[#This Row],[Jerry Can]],0)</f>
        <v>0</v>
      </c>
      <c r="AD146" s="150">
        <f>IF(NFI_Expiration=1,IF($A146&lt;VLOOKUP(S$5,NFI,5,0),1,0)*Data_NFI_t[[#This Row],[Plastic Mat]],0)*IF(Data_NFI_t[[#This Row],[Distribution Date]]&gt;"01-04-2014",1,2.5)</f>
        <v>0</v>
      </c>
      <c r="AE146" s="150" t="str">
        <f ca="1">IFERROR(OFFSET(Camp_List[P_Code],MATCH(Data_NFI_t[[#This Row],[Camp Name]],Camp_List[Camp Name],0)-1,0,1,1),"")</f>
        <v>MMR012CMP030</v>
      </c>
      <c r="AF146" s="714" t="str">
        <f ca="1">IFERROR(OFFSET(Camp_List[Status],MATCH(Data_NFI_t[[#This Row],[Camp Name]],Camp_List[Camp Name],0)-1,0,1,1),"")</f>
        <v>Open</v>
      </c>
    </row>
    <row r="147" spans="1:32" s="102" customFormat="1" ht="15" customHeight="1" x14ac:dyDescent="0.25">
      <c r="A147" s="265">
        <f t="shared" si="2"/>
        <v>29.433333333333334</v>
      </c>
      <c r="B147" s="265">
        <f>YEAR(Data_NFI_t[[#This Row],[Distribution Date]])</f>
        <v>2013</v>
      </c>
      <c r="C147" s="738">
        <v>41456</v>
      </c>
      <c r="D147" s="655" t="s">
        <v>527</v>
      </c>
      <c r="E147" s="654" t="s">
        <v>288</v>
      </c>
      <c r="F147" s="655" t="s">
        <v>7</v>
      </c>
      <c r="G147" s="31" t="s">
        <v>15</v>
      </c>
      <c r="H147" s="31" t="s">
        <v>44</v>
      </c>
      <c r="I147" s="31"/>
      <c r="J147" s="61"/>
      <c r="K147" s="61">
        <v>60</v>
      </c>
      <c r="L147" s="61"/>
      <c r="M147" s="61"/>
      <c r="N147" s="61"/>
      <c r="O147" s="61"/>
      <c r="P147" s="61"/>
      <c r="Q147" s="61"/>
      <c r="R147" s="708"/>
      <c r="S147" s="61"/>
      <c r="T147" s="150">
        <f>IF(NFI_Expiration=1,IF($A147&lt;VLOOKUP(I$5,NFI,5,0),1,0)*Data_NFI_t[[#This Row],[Hygiene Kit]],0)</f>
        <v>0</v>
      </c>
      <c r="U147" s="150">
        <f>IF(NFI_Expiration=1,IF($A147&lt;VLOOKUP(J$5,NFI,5,0),1,0)*Data_NFI_t[[#This Row],[NFI Core Kit]],0)</f>
        <v>0</v>
      </c>
      <c r="V147" s="131">
        <f>IF(NFI_Expiration=1,IF($A147&lt;VLOOKUP(K$5,NFI,5,0),1,0)*Data_NFI_t[[#This Row],[Sanitary Kit]],0)</f>
        <v>0</v>
      </c>
      <c r="W147" s="131">
        <f>IF(NFI_Expiration=1,IF($A147&lt;VLOOKUP(L$5,NFI,5,0),1,0)*Data_NFI_t[[#This Row],[Mosquito net]],0)</f>
        <v>0</v>
      </c>
      <c r="X147" s="131">
        <f>IF(NFI_Expiration=1,IF($A147&lt;VLOOKUP(M$5,NFI,5,0),1,0)*Data_NFI_t[[#This Row],[Tarpaulin]],0)</f>
        <v>0</v>
      </c>
      <c r="Y147" s="131">
        <f>IF(NFI_Expiration=1,IF($A147&lt;VLOOKUP(N$5,NFI,5,0),1,0)*Data_NFI_t[[#This Row],[Blanket]],0)</f>
        <v>0</v>
      </c>
      <c r="Z147" s="131">
        <f>IF(NFI_Expiration=1,IF($A147&lt;VLOOKUP(O$5,NFI,5,0),1,0)*Data_NFI_t[[#This Row],[Kitchen Set]],0)</f>
        <v>0</v>
      </c>
      <c r="AA147" s="131">
        <f>IF(NFI_Expiration=1,IF($A147&lt;VLOOKUP(P$5,NFI,5,0),1,0)*Data_NFI_t[[#This Row],[Complementary Kit]],0)</f>
        <v>0</v>
      </c>
      <c r="AB147" s="131">
        <f>IF(NFI_Expiration=1,IF($A147&lt;VLOOKUP(Q$5,NFI,5,0),1,0)*Data_NFI_t[[#This Row],[Plastic Bucket]],0)</f>
        <v>0</v>
      </c>
      <c r="AC147" s="131">
        <f>IF(NFI_Expiration=1,IF($A147&lt;VLOOKUP(R$5,NFI,5,0),1,0)*Data_NFI_t[[#This Row],[Jerry Can]],0)</f>
        <v>0</v>
      </c>
      <c r="AD147" s="150">
        <f>IF(NFI_Expiration=1,IF($A147&lt;VLOOKUP(S$5,NFI,5,0),1,0)*Data_NFI_t[[#This Row],[Plastic Mat]],0)*IF(Data_NFI_t[[#This Row],[Distribution Date]]&gt;"01-04-2014",1,2.5)</f>
        <v>0</v>
      </c>
      <c r="AE147" s="150" t="str">
        <f ca="1">IFERROR(OFFSET(Camp_List[P_Code],MATCH(Data_NFI_t[[#This Row],[Camp Name]],Camp_List[Camp Name],0)-1,0,1,1),"")</f>
        <v>MMR012CMP020</v>
      </c>
      <c r="AF147" s="714" t="str">
        <f ca="1">IFERROR(OFFSET(Camp_List[Status],MATCH(Data_NFI_t[[#This Row],[Camp Name]],Camp_List[Camp Name],0)-1,0,1,1),"")</f>
        <v>Open</v>
      </c>
    </row>
    <row r="148" spans="1:32" s="102" customFormat="1" ht="15" customHeight="1" x14ac:dyDescent="0.25">
      <c r="A148" s="265">
        <f t="shared" si="2"/>
        <v>29.433333333333334</v>
      </c>
      <c r="B148" s="265">
        <f>YEAR(Data_NFI_t[[#This Row],[Distribution Date]])</f>
        <v>2013</v>
      </c>
      <c r="C148" s="738">
        <v>41456</v>
      </c>
      <c r="D148" s="655" t="s">
        <v>288</v>
      </c>
      <c r="E148" s="654" t="s">
        <v>288</v>
      </c>
      <c r="F148" s="655" t="s">
        <v>7</v>
      </c>
      <c r="G148" s="31" t="s">
        <v>15</v>
      </c>
      <c r="H148" s="31" t="s">
        <v>44</v>
      </c>
      <c r="I148" s="31"/>
      <c r="J148" s="61"/>
      <c r="K148" s="61"/>
      <c r="L148" s="61">
        <v>166</v>
      </c>
      <c r="M148" s="61">
        <v>81</v>
      </c>
      <c r="N148" s="61">
        <v>166</v>
      </c>
      <c r="O148" s="61">
        <v>83</v>
      </c>
      <c r="P148" s="61">
        <v>83</v>
      </c>
      <c r="Q148" s="61">
        <v>83</v>
      </c>
      <c r="R148" s="708"/>
      <c r="S148" s="61">
        <v>166</v>
      </c>
      <c r="T148" s="150">
        <f>IF(NFI_Expiration=1,IF($A148&lt;VLOOKUP(I$5,NFI,5,0),1,0)*Data_NFI_t[[#This Row],[Hygiene Kit]],0)</f>
        <v>0</v>
      </c>
      <c r="U148" s="150">
        <f>IF(NFI_Expiration=1,IF($A148&lt;VLOOKUP(J$5,NFI,5,0),1,0)*Data_NFI_t[[#This Row],[NFI Core Kit]],0)</f>
        <v>0</v>
      </c>
      <c r="V148" s="131">
        <f>IF(NFI_Expiration=1,IF($A148&lt;VLOOKUP(K$5,NFI,5,0),1,0)*Data_NFI_t[[#This Row],[Sanitary Kit]],0)</f>
        <v>0</v>
      </c>
      <c r="W148" s="131">
        <f>IF(NFI_Expiration=1,IF($A148&lt;VLOOKUP(L$5,NFI,5,0),1,0)*Data_NFI_t[[#This Row],[Mosquito net]],0)</f>
        <v>0</v>
      </c>
      <c r="X148" s="131">
        <f>IF(NFI_Expiration=1,IF($A148&lt;VLOOKUP(M$5,NFI,5,0),1,0)*Data_NFI_t[[#This Row],[Tarpaulin]],0)</f>
        <v>0</v>
      </c>
      <c r="Y148" s="131">
        <f>IF(NFI_Expiration=1,IF($A148&lt;VLOOKUP(N$5,NFI,5,0),1,0)*Data_NFI_t[[#This Row],[Blanket]],0)</f>
        <v>0</v>
      </c>
      <c r="Z148" s="131">
        <f>IF(NFI_Expiration=1,IF($A148&lt;VLOOKUP(O$5,NFI,5,0),1,0)*Data_NFI_t[[#This Row],[Kitchen Set]],0)</f>
        <v>0</v>
      </c>
      <c r="AA148" s="131">
        <f>IF(NFI_Expiration=1,IF($A148&lt;VLOOKUP(P$5,NFI,5,0),1,0)*Data_NFI_t[[#This Row],[Complementary Kit]],0)</f>
        <v>0</v>
      </c>
      <c r="AB148" s="131">
        <f>IF(NFI_Expiration=1,IF($A148&lt;VLOOKUP(Q$5,NFI,5,0),1,0)*Data_NFI_t[[#This Row],[Plastic Bucket]],0)</f>
        <v>0</v>
      </c>
      <c r="AC148" s="131">
        <f>IF(NFI_Expiration=1,IF($A148&lt;VLOOKUP(R$5,NFI,5,0),1,0)*Data_NFI_t[[#This Row],[Jerry Can]],0)</f>
        <v>0</v>
      </c>
      <c r="AD148" s="150">
        <f>IF(NFI_Expiration=1,IF($A148&lt;VLOOKUP(S$5,NFI,5,0),1,0)*Data_NFI_t[[#This Row],[Plastic Mat]],0)*IF(Data_NFI_t[[#This Row],[Distribution Date]]&gt;"01-04-2014",1,2.5)</f>
        <v>0</v>
      </c>
      <c r="AE148" s="150" t="str">
        <f ca="1">IFERROR(OFFSET(Camp_List[P_Code],MATCH(Data_NFI_t[[#This Row],[Camp Name]],Camp_List[Camp Name],0)-1,0,1,1),"")</f>
        <v>MMR012CMP020</v>
      </c>
      <c r="AF148" s="714" t="str">
        <f ca="1">IFERROR(OFFSET(Camp_List[Status],MATCH(Data_NFI_t[[#This Row],[Camp Name]],Camp_List[Camp Name],0)-1,0,1,1),"")</f>
        <v>Open</v>
      </c>
    </row>
    <row r="149" spans="1:32" s="102" customFormat="1" ht="15" customHeight="1" x14ac:dyDescent="0.25">
      <c r="A149" s="265">
        <f t="shared" si="2"/>
        <v>29.433333333333334</v>
      </c>
      <c r="B149" s="265">
        <f>YEAR(Data_NFI_t[[#This Row],[Distribution Date]])</f>
        <v>2013</v>
      </c>
      <c r="C149" s="738">
        <v>41456</v>
      </c>
      <c r="D149" s="655" t="s">
        <v>288</v>
      </c>
      <c r="E149" s="654" t="s">
        <v>288</v>
      </c>
      <c r="F149" s="655" t="s">
        <v>7</v>
      </c>
      <c r="G149" s="31" t="s">
        <v>15</v>
      </c>
      <c r="H149" s="31" t="s">
        <v>47</v>
      </c>
      <c r="I149" s="31"/>
      <c r="J149" s="61"/>
      <c r="K149" s="61"/>
      <c r="L149" s="61">
        <v>326</v>
      </c>
      <c r="M149" s="61">
        <v>326</v>
      </c>
      <c r="N149" s="61">
        <v>326</v>
      </c>
      <c r="O149" s="61">
        <v>163</v>
      </c>
      <c r="P149" s="61">
        <v>163</v>
      </c>
      <c r="Q149" s="61">
        <v>163</v>
      </c>
      <c r="R149" s="708"/>
      <c r="S149" s="61">
        <v>326</v>
      </c>
      <c r="T149" s="150">
        <f>IF(NFI_Expiration=1,IF($A149&lt;VLOOKUP(I$5,NFI,5,0),1,0)*Data_NFI_t[[#This Row],[Hygiene Kit]],0)</f>
        <v>0</v>
      </c>
      <c r="U149" s="150">
        <f>IF(NFI_Expiration=1,IF($A149&lt;VLOOKUP(J$5,NFI,5,0),1,0)*Data_NFI_t[[#This Row],[NFI Core Kit]],0)</f>
        <v>0</v>
      </c>
      <c r="V149" s="131">
        <f>IF(NFI_Expiration=1,IF($A149&lt;VLOOKUP(K$5,NFI,5,0),1,0)*Data_NFI_t[[#This Row],[Sanitary Kit]],0)</f>
        <v>0</v>
      </c>
      <c r="W149" s="131">
        <f>IF(NFI_Expiration=1,IF($A149&lt;VLOOKUP(L$5,NFI,5,0),1,0)*Data_NFI_t[[#This Row],[Mosquito net]],0)</f>
        <v>0</v>
      </c>
      <c r="X149" s="131">
        <f>IF(NFI_Expiration=1,IF($A149&lt;VLOOKUP(M$5,NFI,5,0),1,0)*Data_NFI_t[[#This Row],[Tarpaulin]],0)</f>
        <v>0</v>
      </c>
      <c r="Y149" s="131">
        <f>IF(NFI_Expiration=1,IF($A149&lt;VLOOKUP(N$5,NFI,5,0),1,0)*Data_NFI_t[[#This Row],[Blanket]],0)</f>
        <v>0</v>
      </c>
      <c r="Z149" s="131">
        <f>IF(NFI_Expiration=1,IF($A149&lt;VLOOKUP(O$5,NFI,5,0),1,0)*Data_NFI_t[[#This Row],[Kitchen Set]],0)</f>
        <v>0</v>
      </c>
      <c r="AA149" s="131">
        <f>IF(NFI_Expiration=1,IF($A149&lt;VLOOKUP(P$5,NFI,5,0),1,0)*Data_NFI_t[[#This Row],[Complementary Kit]],0)</f>
        <v>0</v>
      </c>
      <c r="AB149" s="131">
        <f>IF(NFI_Expiration=1,IF($A149&lt;VLOOKUP(Q$5,NFI,5,0),1,0)*Data_NFI_t[[#This Row],[Plastic Bucket]],0)</f>
        <v>0</v>
      </c>
      <c r="AC149" s="131">
        <f>IF(NFI_Expiration=1,IF($A149&lt;VLOOKUP(R$5,NFI,5,0),1,0)*Data_NFI_t[[#This Row],[Jerry Can]],0)</f>
        <v>0</v>
      </c>
      <c r="AD149" s="150">
        <f>IF(NFI_Expiration=1,IF($A149&lt;VLOOKUP(S$5,NFI,5,0),1,0)*Data_NFI_t[[#This Row],[Plastic Mat]],0)*IF(Data_NFI_t[[#This Row],[Distribution Date]]&gt;"01-04-2014",1,2.5)</f>
        <v>0</v>
      </c>
      <c r="AE149" s="150" t="str">
        <f ca="1">IFERROR(OFFSET(Camp_List[P_Code],MATCH(Data_NFI_t[[#This Row],[Camp Name]],Camp_List[Camp Name],0)-1,0,1,1),"")</f>
        <v>MMR012CMP023</v>
      </c>
      <c r="AF149" s="714" t="str">
        <f ca="1">IFERROR(OFFSET(Camp_List[Status],MATCH(Data_NFI_t[[#This Row],[Camp Name]],Camp_List[Camp Name],0)-1,0,1,1),"")</f>
        <v>Open</v>
      </c>
    </row>
    <row r="150" spans="1:32" s="102" customFormat="1" ht="15" customHeight="1" x14ac:dyDescent="0.25">
      <c r="A150" s="265">
        <f t="shared" si="2"/>
        <v>29.433333333333334</v>
      </c>
      <c r="B150" s="265">
        <f>YEAR(Data_NFI_t[[#This Row],[Distribution Date]])</f>
        <v>2013</v>
      </c>
      <c r="C150" s="738">
        <v>41456</v>
      </c>
      <c r="D150" s="655" t="s">
        <v>288</v>
      </c>
      <c r="E150" s="654" t="s">
        <v>288</v>
      </c>
      <c r="F150" s="655" t="s">
        <v>7</v>
      </c>
      <c r="G150" s="31" t="s">
        <v>15</v>
      </c>
      <c r="H150" s="31" t="s">
        <v>53</v>
      </c>
      <c r="I150" s="31"/>
      <c r="J150" s="61"/>
      <c r="K150" s="61"/>
      <c r="L150" s="61">
        <v>290</v>
      </c>
      <c r="M150" s="61"/>
      <c r="N150" s="61">
        <v>290</v>
      </c>
      <c r="O150" s="61">
        <v>145</v>
      </c>
      <c r="P150" s="61">
        <v>145</v>
      </c>
      <c r="Q150" s="61">
        <v>145</v>
      </c>
      <c r="R150" s="708"/>
      <c r="S150" s="61">
        <v>290</v>
      </c>
      <c r="T150" s="150">
        <f>IF(NFI_Expiration=1,IF($A150&lt;VLOOKUP(I$5,NFI,5,0),1,0)*Data_NFI_t[[#This Row],[Hygiene Kit]],0)</f>
        <v>0</v>
      </c>
      <c r="U150" s="150">
        <f>IF(NFI_Expiration=1,IF($A150&lt;VLOOKUP(J$5,NFI,5,0),1,0)*Data_NFI_t[[#This Row],[NFI Core Kit]],0)</f>
        <v>0</v>
      </c>
      <c r="V150" s="131">
        <f>IF(NFI_Expiration=1,IF($A150&lt;VLOOKUP(K$5,NFI,5,0),1,0)*Data_NFI_t[[#This Row],[Sanitary Kit]],0)</f>
        <v>0</v>
      </c>
      <c r="W150" s="131">
        <f>IF(NFI_Expiration=1,IF($A150&lt;VLOOKUP(L$5,NFI,5,0),1,0)*Data_NFI_t[[#This Row],[Mosquito net]],0)</f>
        <v>0</v>
      </c>
      <c r="X150" s="131">
        <f>IF(NFI_Expiration=1,IF($A150&lt;VLOOKUP(M$5,NFI,5,0),1,0)*Data_NFI_t[[#This Row],[Tarpaulin]],0)</f>
        <v>0</v>
      </c>
      <c r="Y150" s="131">
        <f>IF(NFI_Expiration=1,IF($A150&lt;VLOOKUP(N$5,NFI,5,0),1,0)*Data_NFI_t[[#This Row],[Blanket]],0)</f>
        <v>0</v>
      </c>
      <c r="Z150" s="131">
        <f>IF(NFI_Expiration=1,IF($A150&lt;VLOOKUP(O$5,NFI,5,0),1,0)*Data_NFI_t[[#This Row],[Kitchen Set]],0)</f>
        <v>0</v>
      </c>
      <c r="AA150" s="131">
        <f>IF(NFI_Expiration=1,IF($A150&lt;VLOOKUP(P$5,NFI,5,0),1,0)*Data_NFI_t[[#This Row],[Complementary Kit]],0)</f>
        <v>0</v>
      </c>
      <c r="AB150" s="131">
        <f>IF(NFI_Expiration=1,IF($A150&lt;VLOOKUP(Q$5,NFI,5,0),1,0)*Data_NFI_t[[#This Row],[Plastic Bucket]],0)</f>
        <v>0</v>
      </c>
      <c r="AC150" s="131">
        <f>IF(NFI_Expiration=1,IF($A150&lt;VLOOKUP(R$5,NFI,5,0),1,0)*Data_NFI_t[[#This Row],[Jerry Can]],0)</f>
        <v>0</v>
      </c>
      <c r="AD150" s="150">
        <f>IF(NFI_Expiration=1,IF($A150&lt;VLOOKUP(S$5,NFI,5,0),1,0)*Data_NFI_t[[#This Row],[Plastic Mat]],0)*IF(Data_NFI_t[[#This Row],[Distribution Date]]&gt;"01-04-2014",1,2.5)</f>
        <v>0</v>
      </c>
      <c r="AE150" s="150" t="str">
        <f ca="1">IFERROR(OFFSET(Camp_List[P_Code],MATCH(Data_NFI_t[[#This Row],[Camp Name]],Camp_List[Camp Name],0)-1,0,1,1),"")</f>
        <v>MMR012CMP029</v>
      </c>
      <c r="AF150" s="714" t="str">
        <f ca="1">IFERROR(OFFSET(Camp_List[Status],MATCH(Data_NFI_t[[#This Row],[Camp Name]],Camp_List[Camp Name],0)-1,0,1,1),"")</f>
        <v>Open</v>
      </c>
    </row>
    <row r="151" spans="1:32" s="102" customFormat="1" ht="15" customHeight="1" x14ac:dyDescent="0.25">
      <c r="A151" s="265">
        <f t="shared" si="2"/>
        <v>29.433333333333334</v>
      </c>
      <c r="B151" s="265">
        <f>YEAR(Data_NFI_t[[#This Row],[Distribution Date]])</f>
        <v>2013</v>
      </c>
      <c r="C151" s="738">
        <v>41456</v>
      </c>
      <c r="D151" s="655" t="s">
        <v>288</v>
      </c>
      <c r="E151" s="654" t="s">
        <v>288</v>
      </c>
      <c r="F151" s="655" t="s">
        <v>7</v>
      </c>
      <c r="G151" s="31" t="s">
        <v>15</v>
      </c>
      <c r="H151" s="31" t="s">
        <v>45</v>
      </c>
      <c r="I151" s="31"/>
      <c r="J151" s="61"/>
      <c r="K151" s="61"/>
      <c r="L151" s="61">
        <v>190</v>
      </c>
      <c r="M151" s="61"/>
      <c r="N151" s="61">
        <v>190</v>
      </c>
      <c r="O151" s="61">
        <v>95</v>
      </c>
      <c r="P151" s="61">
        <v>95</v>
      </c>
      <c r="Q151" s="61">
        <v>95</v>
      </c>
      <c r="R151" s="708"/>
      <c r="S151" s="61">
        <v>190</v>
      </c>
      <c r="T151" s="150">
        <f>IF(NFI_Expiration=1,IF($A151&lt;VLOOKUP(I$5,NFI,5,0),1,0)*Data_NFI_t[[#This Row],[Hygiene Kit]],0)</f>
        <v>0</v>
      </c>
      <c r="U151" s="150">
        <f>IF(NFI_Expiration=1,IF($A151&lt;VLOOKUP(J$5,NFI,5,0),1,0)*Data_NFI_t[[#This Row],[NFI Core Kit]],0)</f>
        <v>0</v>
      </c>
      <c r="V151" s="131">
        <f>IF(NFI_Expiration=1,IF($A151&lt;VLOOKUP(K$5,NFI,5,0),1,0)*Data_NFI_t[[#This Row],[Sanitary Kit]],0)</f>
        <v>0</v>
      </c>
      <c r="W151" s="131">
        <f>IF(NFI_Expiration=1,IF($A151&lt;VLOOKUP(L$5,NFI,5,0),1,0)*Data_NFI_t[[#This Row],[Mosquito net]],0)</f>
        <v>0</v>
      </c>
      <c r="X151" s="131">
        <f>IF(NFI_Expiration=1,IF($A151&lt;VLOOKUP(M$5,NFI,5,0),1,0)*Data_NFI_t[[#This Row],[Tarpaulin]],0)</f>
        <v>0</v>
      </c>
      <c r="Y151" s="131">
        <f>IF(NFI_Expiration=1,IF($A151&lt;VLOOKUP(N$5,NFI,5,0),1,0)*Data_NFI_t[[#This Row],[Blanket]],0)</f>
        <v>0</v>
      </c>
      <c r="Z151" s="131">
        <f>IF(NFI_Expiration=1,IF($A151&lt;VLOOKUP(O$5,NFI,5,0),1,0)*Data_NFI_t[[#This Row],[Kitchen Set]],0)</f>
        <v>0</v>
      </c>
      <c r="AA151" s="131">
        <f>IF(NFI_Expiration=1,IF($A151&lt;VLOOKUP(P$5,NFI,5,0),1,0)*Data_NFI_t[[#This Row],[Complementary Kit]],0)</f>
        <v>0</v>
      </c>
      <c r="AB151" s="131">
        <f>IF(NFI_Expiration=1,IF($A151&lt;VLOOKUP(Q$5,NFI,5,0),1,0)*Data_NFI_t[[#This Row],[Plastic Bucket]],0)</f>
        <v>0</v>
      </c>
      <c r="AC151" s="131">
        <f>IF(NFI_Expiration=1,IF($A151&lt;VLOOKUP(R$5,NFI,5,0),1,0)*Data_NFI_t[[#This Row],[Jerry Can]],0)</f>
        <v>0</v>
      </c>
      <c r="AD151" s="150">
        <f>IF(NFI_Expiration=1,IF($A151&lt;VLOOKUP(S$5,NFI,5,0),1,0)*Data_NFI_t[[#This Row],[Plastic Mat]],0)*IF(Data_NFI_t[[#This Row],[Distribution Date]]&gt;"01-04-2014",1,2.5)</f>
        <v>0</v>
      </c>
      <c r="AE151" s="150" t="str">
        <f ca="1">IFERROR(OFFSET(Camp_List[P_Code],MATCH(Data_NFI_t[[#This Row],[Camp Name]],Camp_List[Camp Name],0)-1,0,1,1),"")</f>
        <v>MMR012CMP021</v>
      </c>
      <c r="AF151" s="714" t="str">
        <f ca="1">IFERROR(OFFSET(Camp_List[Status],MATCH(Data_NFI_t[[#This Row],[Camp Name]],Camp_List[Camp Name],0)-1,0,1,1),"")</f>
        <v>Open</v>
      </c>
    </row>
    <row r="152" spans="1:32" s="102" customFormat="1" ht="15" customHeight="1" x14ac:dyDescent="0.25">
      <c r="A152" s="265">
        <f t="shared" si="2"/>
        <v>29.433333333333334</v>
      </c>
      <c r="B152" s="265">
        <f>YEAR(Data_NFI_t[[#This Row],[Distribution Date]])</f>
        <v>2013</v>
      </c>
      <c r="C152" s="738">
        <v>41456</v>
      </c>
      <c r="D152" s="655" t="s">
        <v>288</v>
      </c>
      <c r="E152" s="654" t="s">
        <v>288</v>
      </c>
      <c r="F152" s="655" t="s">
        <v>7</v>
      </c>
      <c r="G152" s="31" t="s">
        <v>15</v>
      </c>
      <c r="H152" s="31" t="s">
        <v>52</v>
      </c>
      <c r="I152" s="31"/>
      <c r="J152" s="61"/>
      <c r="K152" s="61"/>
      <c r="L152" s="61">
        <v>216</v>
      </c>
      <c r="M152" s="61"/>
      <c r="N152" s="61">
        <v>216</v>
      </c>
      <c r="O152" s="61">
        <v>108</v>
      </c>
      <c r="P152" s="61">
        <v>108</v>
      </c>
      <c r="Q152" s="61">
        <v>108</v>
      </c>
      <c r="R152" s="708"/>
      <c r="S152" s="61">
        <v>216</v>
      </c>
      <c r="T152" s="150">
        <f>IF(NFI_Expiration=1,IF($A152&lt;VLOOKUP(I$5,NFI,5,0),1,0)*Data_NFI_t[[#This Row],[Hygiene Kit]],0)</f>
        <v>0</v>
      </c>
      <c r="U152" s="150">
        <f>IF(NFI_Expiration=1,IF($A152&lt;VLOOKUP(J$5,NFI,5,0),1,0)*Data_NFI_t[[#This Row],[NFI Core Kit]],0)</f>
        <v>0</v>
      </c>
      <c r="V152" s="131">
        <f>IF(NFI_Expiration=1,IF($A152&lt;VLOOKUP(K$5,NFI,5,0),1,0)*Data_NFI_t[[#This Row],[Sanitary Kit]],0)</f>
        <v>0</v>
      </c>
      <c r="W152" s="131">
        <f>IF(NFI_Expiration=1,IF($A152&lt;VLOOKUP(L$5,NFI,5,0),1,0)*Data_NFI_t[[#This Row],[Mosquito net]],0)</f>
        <v>0</v>
      </c>
      <c r="X152" s="131">
        <f>IF(NFI_Expiration=1,IF($A152&lt;VLOOKUP(M$5,NFI,5,0),1,0)*Data_NFI_t[[#This Row],[Tarpaulin]],0)</f>
        <v>0</v>
      </c>
      <c r="Y152" s="131">
        <f>IF(NFI_Expiration=1,IF($A152&lt;VLOOKUP(N$5,NFI,5,0),1,0)*Data_NFI_t[[#This Row],[Blanket]],0)</f>
        <v>0</v>
      </c>
      <c r="Z152" s="131">
        <f>IF(NFI_Expiration=1,IF($A152&lt;VLOOKUP(O$5,NFI,5,0),1,0)*Data_NFI_t[[#This Row],[Kitchen Set]],0)</f>
        <v>0</v>
      </c>
      <c r="AA152" s="131">
        <f>IF(NFI_Expiration=1,IF($A152&lt;VLOOKUP(P$5,NFI,5,0),1,0)*Data_NFI_t[[#This Row],[Complementary Kit]],0)</f>
        <v>0</v>
      </c>
      <c r="AB152" s="131">
        <f>IF(NFI_Expiration=1,IF($A152&lt;VLOOKUP(Q$5,NFI,5,0),1,0)*Data_NFI_t[[#This Row],[Plastic Bucket]],0)</f>
        <v>0</v>
      </c>
      <c r="AC152" s="131">
        <f>IF(NFI_Expiration=1,IF($A152&lt;VLOOKUP(R$5,NFI,5,0),1,0)*Data_NFI_t[[#This Row],[Jerry Can]],0)</f>
        <v>0</v>
      </c>
      <c r="AD152" s="150">
        <f>IF(NFI_Expiration=1,IF($A152&lt;VLOOKUP(S$5,NFI,5,0),1,0)*Data_NFI_t[[#This Row],[Plastic Mat]],0)*IF(Data_NFI_t[[#This Row],[Distribution Date]]&gt;"01-04-2014",1,2.5)</f>
        <v>0</v>
      </c>
      <c r="AE152" s="150" t="str">
        <f ca="1">IFERROR(OFFSET(Camp_List[P_Code],MATCH(Data_NFI_t[[#This Row],[Camp Name]],Camp_List[Camp Name],0)-1,0,1,1),"")</f>
        <v>MMR012CMP028</v>
      </c>
      <c r="AF152" s="714" t="str">
        <f ca="1">IFERROR(OFFSET(Camp_List[Status],MATCH(Data_NFI_t[[#This Row],[Camp Name]],Camp_List[Camp Name],0)-1,0,1,1),"")</f>
        <v>Open</v>
      </c>
    </row>
    <row r="153" spans="1:32" s="102" customFormat="1" ht="15" customHeight="1" x14ac:dyDescent="0.25">
      <c r="A153" s="265">
        <f t="shared" si="2"/>
        <v>29.433333333333334</v>
      </c>
      <c r="B153" s="265">
        <f>YEAR(Data_NFI_t[[#This Row],[Distribution Date]])</f>
        <v>2013</v>
      </c>
      <c r="C153" s="738">
        <v>41456</v>
      </c>
      <c r="D153" s="655" t="s">
        <v>288</v>
      </c>
      <c r="E153" s="654" t="s">
        <v>288</v>
      </c>
      <c r="F153" s="655" t="s">
        <v>7</v>
      </c>
      <c r="G153" s="31" t="s">
        <v>15</v>
      </c>
      <c r="H153" s="31" t="s">
        <v>52</v>
      </c>
      <c r="I153" s="31"/>
      <c r="J153" s="61"/>
      <c r="K153" s="61"/>
      <c r="L153" s="61"/>
      <c r="M153" s="61"/>
      <c r="N153" s="61"/>
      <c r="O153" s="61"/>
      <c r="P153" s="61"/>
      <c r="Q153" s="61"/>
      <c r="R153" s="708"/>
      <c r="S153" s="61"/>
      <c r="T153" s="150">
        <f>IF(NFI_Expiration=1,IF($A153&lt;VLOOKUP(I$5,NFI,5,0),1,0)*Data_NFI_t[[#This Row],[Hygiene Kit]],0)</f>
        <v>0</v>
      </c>
      <c r="U153" s="150">
        <f>IF(NFI_Expiration=1,IF($A153&lt;VLOOKUP(J$5,NFI,5,0),1,0)*Data_NFI_t[[#This Row],[NFI Core Kit]],0)</f>
        <v>0</v>
      </c>
      <c r="V153" s="131">
        <f>IF(NFI_Expiration=1,IF($A153&lt;VLOOKUP(K$5,NFI,5,0),1,0)*Data_NFI_t[[#This Row],[Sanitary Kit]],0)</f>
        <v>0</v>
      </c>
      <c r="W153" s="131">
        <f>IF(NFI_Expiration=1,IF($A153&lt;VLOOKUP(L$5,NFI,5,0),1,0)*Data_NFI_t[[#This Row],[Mosquito net]],0)</f>
        <v>0</v>
      </c>
      <c r="X153" s="131">
        <f>IF(NFI_Expiration=1,IF($A153&lt;VLOOKUP(M$5,NFI,5,0),1,0)*Data_NFI_t[[#This Row],[Tarpaulin]],0)</f>
        <v>0</v>
      </c>
      <c r="Y153" s="131">
        <f>IF(NFI_Expiration=1,IF($A153&lt;VLOOKUP(N$5,NFI,5,0),1,0)*Data_NFI_t[[#This Row],[Blanket]],0)</f>
        <v>0</v>
      </c>
      <c r="Z153" s="131">
        <f>IF(NFI_Expiration=1,IF($A153&lt;VLOOKUP(O$5,NFI,5,0),1,0)*Data_NFI_t[[#This Row],[Kitchen Set]],0)</f>
        <v>0</v>
      </c>
      <c r="AA153" s="131">
        <f>IF(NFI_Expiration=1,IF($A153&lt;VLOOKUP(P$5,NFI,5,0),1,0)*Data_NFI_t[[#This Row],[Complementary Kit]],0)</f>
        <v>0</v>
      </c>
      <c r="AB153" s="131">
        <f>IF(NFI_Expiration=1,IF($A153&lt;VLOOKUP(Q$5,NFI,5,0),1,0)*Data_NFI_t[[#This Row],[Plastic Bucket]],0)</f>
        <v>0</v>
      </c>
      <c r="AC153" s="131">
        <f>IF(NFI_Expiration=1,IF($A153&lt;VLOOKUP(R$5,NFI,5,0),1,0)*Data_NFI_t[[#This Row],[Jerry Can]],0)</f>
        <v>0</v>
      </c>
      <c r="AD153" s="150">
        <f>IF(NFI_Expiration=1,IF($A153&lt;VLOOKUP(S$5,NFI,5,0),1,0)*Data_NFI_t[[#This Row],[Plastic Mat]],0)*IF(Data_NFI_t[[#This Row],[Distribution Date]]&gt;"01-04-2014",1,2.5)</f>
        <v>0</v>
      </c>
      <c r="AE153" s="150" t="str">
        <f ca="1">IFERROR(OFFSET(Camp_List[P_Code],MATCH(Data_NFI_t[[#This Row],[Camp Name]],Camp_List[Camp Name],0)-1,0,1,1),"")</f>
        <v>MMR012CMP028</v>
      </c>
      <c r="AF153" s="714" t="str">
        <f ca="1">IFERROR(OFFSET(Camp_List[Status],MATCH(Data_NFI_t[[#This Row],[Camp Name]],Camp_List[Camp Name],0)-1,0,1,1),"")</f>
        <v>Open</v>
      </c>
    </row>
    <row r="154" spans="1:32" s="102" customFormat="1" ht="15" customHeight="1" x14ac:dyDescent="0.25">
      <c r="A154" s="265">
        <f t="shared" si="2"/>
        <v>29.6</v>
      </c>
      <c r="B154" s="265">
        <f>YEAR(Data_NFI_t[[#This Row],[Distribution Date]])</f>
        <v>2013</v>
      </c>
      <c r="C154" s="738">
        <v>41451</v>
      </c>
      <c r="D154" s="655" t="s">
        <v>289</v>
      </c>
      <c r="E154" s="654" t="s">
        <v>289</v>
      </c>
      <c r="F154" s="655" t="s">
        <v>7</v>
      </c>
      <c r="G154" s="31" t="s">
        <v>19</v>
      </c>
      <c r="H154" s="31" t="s">
        <v>65</v>
      </c>
      <c r="I154" s="31"/>
      <c r="J154" s="61"/>
      <c r="K154" s="61"/>
      <c r="L154" s="61">
        <v>273</v>
      </c>
      <c r="M154" s="61">
        <v>273</v>
      </c>
      <c r="N154" s="61">
        <v>273</v>
      </c>
      <c r="O154" s="61"/>
      <c r="P154" s="61"/>
      <c r="Q154" s="61">
        <v>273</v>
      </c>
      <c r="R154" s="708"/>
      <c r="S154" s="61">
        <v>273</v>
      </c>
      <c r="T154" s="150">
        <f>IF(NFI_Expiration=1,IF($A154&lt;VLOOKUP(I$5,NFI,5,0),1,0)*Data_NFI_t[[#This Row],[Hygiene Kit]],0)</f>
        <v>0</v>
      </c>
      <c r="U154" s="150">
        <f>IF(NFI_Expiration=1,IF($A154&lt;VLOOKUP(J$5,NFI,5,0),1,0)*Data_NFI_t[[#This Row],[NFI Core Kit]],0)</f>
        <v>0</v>
      </c>
      <c r="V154" s="131">
        <f>IF(NFI_Expiration=1,IF($A154&lt;VLOOKUP(K$5,NFI,5,0),1,0)*Data_NFI_t[[#This Row],[Sanitary Kit]],0)</f>
        <v>0</v>
      </c>
      <c r="W154" s="131">
        <f>IF(NFI_Expiration=1,IF($A154&lt;VLOOKUP(L$5,NFI,5,0),1,0)*Data_NFI_t[[#This Row],[Mosquito net]],0)</f>
        <v>0</v>
      </c>
      <c r="X154" s="131">
        <f>IF(NFI_Expiration=1,IF($A154&lt;VLOOKUP(M$5,NFI,5,0),1,0)*Data_NFI_t[[#This Row],[Tarpaulin]],0)</f>
        <v>0</v>
      </c>
      <c r="Y154" s="131">
        <f>IF(NFI_Expiration=1,IF($A154&lt;VLOOKUP(N$5,NFI,5,0),1,0)*Data_NFI_t[[#This Row],[Blanket]],0)</f>
        <v>0</v>
      </c>
      <c r="Z154" s="131">
        <f>IF(NFI_Expiration=1,IF($A154&lt;VLOOKUP(O$5,NFI,5,0),1,0)*Data_NFI_t[[#This Row],[Kitchen Set]],0)</f>
        <v>0</v>
      </c>
      <c r="AA154" s="131">
        <f>IF(NFI_Expiration=1,IF($A154&lt;VLOOKUP(P$5,NFI,5,0),1,0)*Data_NFI_t[[#This Row],[Complementary Kit]],0)</f>
        <v>0</v>
      </c>
      <c r="AB154" s="131">
        <f>IF(NFI_Expiration=1,IF($A154&lt;VLOOKUP(Q$5,NFI,5,0),1,0)*Data_NFI_t[[#This Row],[Plastic Bucket]],0)</f>
        <v>0</v>
      </c>
      <c r="AC154" s="131">
        <f>IF(NFI_Expiration=1,IF($A154&lt;VLOOKUP(R$5,NFI,5,0),1,0)*Data_NFI_t[[#This Row],[Jerry Can]],0)</f>
        <v>0</v>
      </c>
      <c r="AD154" s="150">
        <f>IF(NFI_Expiration=1,IF($A154&lt;VLOOKUP(S$5,NFI,5,0),1,0)*Data_NFI_t[[#This Row],[Plastic Mat]],0)*IF(Data_NFI_t[[#This Row],[Distribution Date]]&gt;"01-04-2014",1,2.5)</f>
        <v>0</v>
      </c>
      <c r="AE154" s="150" t="str">
        <f ca="1">IFERROR(OFFSET(Camp_List[P_Code],MATCH(Data_NFI_t[[#This Row],[Camp Name]],Camp_List[Camp Name],0)-1,0,1,1),"")</f>
        <v>MMR012CMP043</v>
      </c>
      <c r="AF154" s="714" t="str">
        <f ca="1">IFERROR(OFFSET(Camp_List[Status],MATCH(Data_NFI_t[[#This Row],[Camp Name]],Camp_List[Camp Name],0)-1,0,1,1),"")</f>
        <v>Close</v>
      </c>
    </row>
    <row r="155" spans="1:32" s="102" customFormat="1" ht="15" customHeight="1" x14ac:dyDescent="0.25">
      <c r="A155" s="265">
        <f t="shared" si="2"/>
        <v>29.6</v>
      </c>
      <c r="B155" s="265">
        <f>YEAR(Data_NFI_t[[#This Row],[Distribution Date]])</f>
        <v>2013</v>
      </c>
      <c r="C155" s="738">
        <v>41451</v>
      </c>
      <c r="D155" s="655" t="s">
        <v>289</v>
      </c>
      <c r="E155" s="654" t="s">
        <v>289</v>
      </c>
      <c r="F155" s="655" t="s">
        <v>7</v>
      </c>
      <c r="G155" s="31" t="s">
        <v>19</v>
      </c>
      <c r="H155" s="31" t="s">
        <v>78</v>
      </c>
      <c r="I155" s="31"/>
      <c r="J155" s="61"/>
      <c r="K155" s="61"/>
      <c r="L155" s="61">
        <v>20</v>
      </c>
      <c r="M155" s="61">
        <v>20</v>
      </c>
      <c r="N155" s="61">
        <v>20</v>
      </c>
      <c r="O155" s="61"/>
      <c r="P155" s="61"/>
      <c r="Q155" s="61">
        <v>20</v>
      </c>
      <c r="R155" s="708"/>
      <c r="S155" s="61">
        <v>20</v>
      </c>
      <c r="T155" s="150">
        <f>IF(NFI_Expiration=1,IF($A155&lt;VLOOKUP(I$5,NFI,5,0),1,0)*Data_NFI_t[[#This Row],[Hygiene Kit]],0)</f>
        <v>0</v>
      </c>
      <c r="U155" s="150">
        <f>IF(NFI_Expiration=1,IF($A155&lt;VLOOKUP(J$5,NFI,5,0),1,0)*Data_NFI_t[[#This Row],[NFI Core Kit]],0)</f>
        <v>0</v>
      </c>
      <c r="V155" s="131">
        <f>IF(NFI_Expiration=1,IF($A155&lt;VLOOKUP(K$5,NFI,5,0),1,0)*Data_NFI_t[[#This Row],[Sanitary Kit]],0)</f>
        <v>0</v>
      </c>
      <c r="W155" s="131">
        <f>IF(NFI_Expiration=1,IF($A155&lt;VLOOKUP(L$5,NFI,5,0),1,0)*Data_NFI_t[[#This Row],[Mosquito net]],0)</f>
        <v>0</v>
      </c>
      <c r="X155" s="131">
        <f>IF(NFI_Expiration=1,IF($A155&lt;VLOOKUP(M$5,NFI,5,0),1,0)*Data_NFI_t[[#This Row],[Tarpaulin]],0)</f>
        <v>0</v>
      </c>
      <c r="Y155" s="131">
        <f>IF(NFI_Expiration=1,IF($A155&lt;VLOOKUP(N$5,NFI,5,0),1,0)*Data_NFI_t[[#This Row],[Blanket]],0)</f>
        <v>0</v>
      </c>
      <c r="Z155" s="131">
        <f>IF(NFI_Expiration=1,IF($A155&lt;VLOOKUP(O$5,NFI,5,0),1,0)*Data_NFI_t[[#This Row],[Kitchen Set]],0)</f>
        <v>0</v>
      </c>
      <c r="AA155" s="131">
        <f>IF(NFI_Expiration=1,IF($A155&lt;VLOOKUP(P$5,NFI,5,0),1,0)*Data_NFI_t[[#This Row],[Complementary Kit]],0)</f>
        <v>0</v>
      </c>
      <c r="AB155" s="131">
        <f>IF(NFI_Expiration=1,IF($A155&lt;VLOOKUP(Q$5,NFI,5,0),1,0)*Data_NFI_t[[#This Row],[Plastic Bucket]],0)</f>
        <v>0</v>
      </c>
      <c r="AC155" s="131">
        <f>IF(NFI_Expiration=1,IF($A155&lt;VLOOKUP(R$5,NFI,5,0),1,0)*Data_NFI_t[[#This Row],[Jerry Can]],0)</f>
        <v>0</v>
      </c>
      <c r="AD155" s="150">
        <f>IF(NFI_Expiration=1,IF($A155&lt;VLOOKUP(S$5,NFI,5,0),1,0)*Data_NFI_t[[#This Row],[Plastic Mat]],0)*IF(Data_NFI_t[[#This Row],[Distribution Date]]&gt;"01-04-2014",1,2.5)</f>
        <v>0</v>
      </c>
      <c r="AE155" s="150" t="str">
        <f ca="1">IFERROR(OFFSET(Camp_List[P_Code],MATCH(Data_NFI_t[[#This Row],[Camp Name]],Camp_List[Camp Name],0)-1,0,1,1),"")</f>
        <v>MMR012CMP056</v>
      </c>
      <c r="AF155" s="714" t="str">
        <f ca="1">IFERROR(OFFSET(Camp_List[Status],MATCH(Data_NFI_t[[#This Row],[Camp Name]],Camp_List[Camp Name],0)-1,0,1,1),"")</f>
        <v>Open</v>
      </c>
    </row>
    <row r="156" spans="1:32" s="102" customFormat="1" ht="15" customHeight="1" x14ac:dyDescent="0.25">
      <c r="A156" s="265">
        <f t="shared" si="2"/>
        <v>29.6</v>
      </c>
      <c r="B156" s="265">
        <f>YEAR(Data_NFI_t[[#This Row],[Distribution Date]])</f>
        <v>2013</v>
      </c>
      <c r="C156" s="738">
        <v>41451</v>
      </c>
      <c r="D156" s="655" t="s">
        <v>289</v>
      </c>
      <c r="E156" s="654" t="s">
        <v>289</v>
      </c>
      <c r="F156" s="655" t="s">
        <v>7</v>
      </c>
      <c r="G156" s="31" t="s">
        <v>19</v>
      </c>
      <c r="H156" s="31" t="s">
        <v>68</v>
      </c>
      <c r="I156" s="31"/>
      <c r="J156" s="61"/>
      <c r="K156" s="61"/>
      <c r="L156" s="61">
        <v>2797</v>
      </c>
      <c r="M156" s="61">
        <v>2797</v>
      </c>
      <c r="N156" s="61">
        <v>2797</v>
      </c>
      <c r="O156" s="61"/>
      <c r="P156" s="61"/>
      <c r="Q156" s="61">
        <v>2797</v>
      </c>
      <c r="R156" s="708"/>
      <c r="S156" s="61">
        <v>2797</v>
      </c>
      <c r="T156" s="150">
        <f>IF(NFI_Expiration=1,IF($A156&lt;VLOOKUP(I$5,NFI,5,0),1,0)*Data_NFI_t[[#This Row],[Hygiene Kit]],0)</f>
        <v>0</v>
      </c>
      <c r="U156" s="150">
        <f>IF(NFI_Expiration=1,IF($A156&lt;VLOOKUP(J$5,NFI,5,0),1,0)*Data_NFI_t[[#This Row],[NFI Core Kit]],0)</f>
        <v>0</v>
      </c>
      <c r="V156" s="131">
        <f>IF(NFI_Expiration=1,IF($A156&lt;VLOOKUP(K$5,NFI,5,0),1,0)*Data_NFI_t[[#This Row],[Sanitary Kit]],0)</f>
        <v>0</v>
      </c>
      <c r="W156" s="131">
        <f>IF(NFI_Expiration=1,IF($A156&lt;VLOOKUP(L$5,NFI,5,0),1,0)*Data_NFI_t[[#This Row],[Mosquito net]],0)</f>
        <v>0</v>
      </c>
      <c r="X156" s="131">
        <f>IF(NFI_Expiration=1,IF($A156&lt;VLOOKUP(M$5,NFI,5,0),1,0)*Data_NFI_t[[#This Row],[Tarpaulin]],0)</f>
        <v>0</v>
      </c>
      <c r="Y156" s="131">
        <f>IF(NFI_Expiration=1,IF($A156&lt;VLOOKUP(N$5,NFI,5,0),1,0)*Data_NFI_t[[#This Row],[Blanket]],0)</f>
        <v>0</v>
      </c>
      <c r="Z156" s="131">
        <f>IF(NFI_Expiration=1,IF($A156&lt;VLOOKUP(O$5,NFI,5,0),1,0)*Data_NFI_t[[#This Row],[Kitchen Set]],0)</f>
        <v>0</v>
      </c>
      <c r="AA156" s="131">
        <f>IF(NFI_Expiration=1,IF($A156&lt;VLOOKUP(P$5,NFI,5,0),1,0)*Data_NFI_t[[#This Row],[Complementary Kit]],0)</f>
        <v>0</v>
      </c>
      <c r="AB156" s="131">
        <f>IF(NFI_Expiration=1,IF($A156&lt;VLOOKUP(Q$5,NFI,5,0),1,0)*Data_NFI_t[[#This Row],[Plastic Bucket]],0)</f>
        <v>0</v>
      </c>
      <c r="AC156" s="131">
        <f>IF(NFI_Expiration=1,IF($A156&lt;VLOOKUP(R$5,NFI,5,0),1,0)*Data_NFI_t[[#This Row],[Jerry Can]],0)</f>
        <v>0</v>
      </c>
      <c r="AD156" s="150">
        <f>IF(NFI_Expiration=1,IF($A156&lt;VLOOKUP(S$5,NFI,5,0),1,0)*Data_NFI_t[[#This Row],[Plastic Mat]],0)*IF(Data_NFI_t[[#This Row],[Distribution Date]]&gt;"01-04-2014",1,2.5)</f>
        <v>0</v>
      </c>
      <c r="AE156" s="150" t="str">
        <f ca="1">IFERROR(OFFSET(Camp_List[P_Code],MATCH(Data_NFI_t[[#This Row],[Camp Name]],Camp_List[Camp Name],0)-1,0,1,1),"")</f>
        <v>MMR012CMP046</v>
      </c>
      <c r="AF156" s="714" t="str">
        <f ca="1">IFERROR(OFFSET(Camp_List[Status],MATCH(Data_NFI_t[[#This Row],[Camp Name]],Camp_List[Camp Name],0)-1,0,1,1),"")</f>
        <v>Open</v>
      </c>
    </row>
    <row r="157" spans="1:32" s="102" customFormat="1" ht="15" customHeight="1" x14ac:dyDescent="0.25">
      <c r="A157" s="265">
        <f t="shared" si="2"/>
        <v>30.533333333333335</v>
      </c>
      <c r="B157" s="265">
        <f>YEAR(Data_NFI_t[[#This Row],[Distribution Date]])</f>
        <v>2013</v>
      </c>
      <c r="C157" s="738">
        <v>41423</v>
      </c>
      <c r="D157" s="655" t="s">
        <v>526</v>
      </c>
      <c r="E157" s="654" t="s">
        <v>526</v>
      </c>
      <c r="F157" s="655" t="s">
        <v>7</v>
      </c>
      <c r="G157" s="31" t="s">
        <v>14</v>
      </c>
      <c r="H157" s="31" t="s">
        <v>40</v>
      </c>
      <c r="I157" s="31">
        <v>773</v>
      </c>
      <c r="J157" s="61"/>
      <c r="K157" s="61"/>
      <c r="L157" s="61"/>
      <c r="M157" s="61"/>
      <c r="N157" s="61"/>
      <c r="O157" s="61"/>
      <c r="P157" s="61"/>
      <c r="Q157" s="61"/>
      <c r="R157" s="708"/>
      <c r="S157" s="61"/>
      <c r="T157" s="150">
        <f>IF(NFI_Expiration=1,IF($A157&lt;VLOOKUP(I$5,NFI,5,0),1,0)*Data_NFI_t[[#This Row],[Hygiene Kit]],0)</f>
        <v>0</v>
      </c>
      <c r="U157" s="150">
        <f>IF(NFI_Expiration=1,IF($A157&lt;VLOOKUP(J$5,NFI,5,0),1,0)*Data_NFI_t[[#This Row],[NFI Core Kit]],0)</f>
        <v>0</v>
      </c>
      <c r="V157" s="131">
        <f>IF(NFI_Expiration=1,IF($A157&lt;VLOOKUP(K$5,NFI,5,0),1,0)*Data_NFI_t[[#This Row],[Sanitary Kit]],0)</f>
        <v>0</v>
      </c>
      <c r="W157" s="131">
        <f>IF(NFI_Expiration=1,IF($A157&lt;VLOOKUP(L$5,NFI,5,0),1,0)*Data_NFI_t[[#This Row],[Mosquito net]],0)</f>
        <v>0</v>
      </c>
      <c r="X157" s="131">
        <f>IF(NFI_Expiration=1,IF($A157&lt;VLOOKUP(M$5,NFI,5,0),1,0)*Data_NFI_t[[#This Row],[Tarpaulin]],0)</f>
        <v>0</v>
      </c>
      <c r="Y157" s="131">
        <f>IF(NFI_Expiration=1,IF($A157&lt;VLOOKUP(N$5,NFI,5,0),1,0)*Data_NFI_t[[#This Row],[Blanket]],0)</f>
        <v>0</v>
      </c>
      <c r="Z157" s="131">
        <f>IF(NFI_Expiration=1,IF($A157&lt;VLOOKUP(O$5,NFI,5,0),1,0)*Data_NFI_t[[#This Row],[Kitchen Set]],0)</f>
        <v>0</v>
      </c>
      <c r="AA157" s="131">
        <f>IF(NFI_Expiration=1,IF($A157&lt;VLOOKUP(P$5,NFI,5,0),1,0)*Data_NFI_t[[#This Row],[Complementary Kit]],0)</f>
        <v>0</v>
      </c>
      <c r="AB157" s="131">
        <f>IF(NFI_Expiration=1,IF($A157&lt;VLOOKUP(Q$5,NFI,5,0),1,0)*Data_NFI_t[[#This Row],[Plastic Bucket]],0)</f>
        <v>0</v>
      </c>
      <c r="AC157" s="131">
        <f>IF(NFI_Expiration=1,IF($A157&lt;VLOOKUP(R$5,NFI,5,0),1,0)*Data_NFI_t[[#This Row],[Jerry Can]],0)</f>
        <v>0</v>
      </c>
      <c r="AD157" s="150">
        <f>IF(NFI_Expiration=1,IF($A157&lt;VLOOKUP(S$5,NFI,5,0),1,0)*Data_NFI_t[[#This Row],[Plastic Mat]],0)*IF(Data_NFI_t[[#This Row],[Distribution Date]]&gt;"01-04-2014",1,2.5)</f>
        <v>0</v>
      </c>
      <c r="AE157" s="150" t="str">
        <f ca="1">IFERROR(OFFSET(Camp_List[P_Code],MATCH(Data_NFI_t[[#This Row],[Camp Name]],Camp_List[Camp Name],0)-1,0,1,1),"")</f>
        <v>MMR012CMP016</v>
      </c>
      <c r="AF157" s="714" t="str">
        <f ca="1">IFERROR(OFFSET(Camp_List[Status],MATCH(Data_NFI_t[[#This Row],[Camp Name]],Camp_List[Camp Name],0)-1,0,1,1),"")</f>
        <v>Open</v>
      </c>
    </row>
    <row r="158" spans="1:32" s="102" customFormat="1" ht="15" customHeight="1" x14ac:dyDescent="0.25">
      <c r="A158" s="265">
        <f t="shared" si="2"/>
        <v>30.533333333333335</v>
      </c>
      <c r="B158" s="265">
        <f>YEAR(Data_NFI_t[[#This Row],[Distribution Date]])</f>
        <v>2013</v>
      </c>
      <c r="C158" s="738">
        <v>41423</v>
      </c>
      <c r="D158" s="655" t="s">
        <v>526</v>
      </c>
      <c r="E158" s="654" t="s">
        <v>526</v>
      </c>
      <c r="F158" s="655" t="s">
        <v>7</v>
      </c>
      <c r="G158" s="31" t="s">
        <v>19</v>
      </c>
      <c r="H158" s="31" t="s">
        <v>73</v>
      </c>
      <c r="I158" s="31">
        <v>502</v>
      </c>
      <c r="J158" s="61"/>
      <c r="K158" s="61"/>
      <c r="L158" s="61"/>
      <c r="M158" s="61"/>
      <c r="N158" s="61"/>
      <c r="O158" s="61"/>
      <c r="P158" s="61"/>
      <c r="Q158" s="61"/>
      <c r="R158" s="708"/>
      <c r="S158" s="61"/>
      <c r="T158" s="150">
        <f>IF(NFI_Expiration=1,IF($A158&lt;VLOOKUP(I$5,NFI,5,0),1,0)*Data_NFI_t[[#This Row],[Hygiene Kit]],0)</f>
        <v>0</v>
      </c>
      <c r="U158" s="150">
        <f>IF(NFI_Expiration=1,IF($A158&lt;VLOOKUP(J$5,NFI,5,0),1,0)*Data_NFI_t[[#This Row],[NFI Core Kit]],0)</f>
        <v>0</v>
      </c>
      <c r="V158" s="131">
        <f>IF(NFI_Expiration=1,IF($A158&lt;VLOOKUP(K$5,NFI,5,0),1,0)*Data_NFI_t[[#This Row],[Sanitary Kit]],0)</f>
        <v>0</v>
      </c>
      <c r="W158" s="131">
        <f>IF(NFI_Expiration=1,IF($A158&lt;VLOOKUP(L$5,NFI,5,0),1,0)*Data_NFI_t[[#This Row],[Mosquito net]],0)</f>
        <v>0</v>
      </c>
      <c r="X158" s="131">
        <f>IF(NFI_Expiration=1,IF($A158&lt;VLOOKUP(M$5,NFI,5,0),1,0)*Data_NFI_t[[#This Row],[Tarpaulin]],0)</f>
        <v>0</v>
      </c>
      <c r="Y158" s="131">
        <f>IF(NFI_Expiration=1,IF($A158&lt;VLOOKUP(N$5,NFI,5,0),1,0)*Data_NFI_t[[#This Row],[Blanket]],0)</f>
        <v>0</v>
      </c>
      <c r="Z158" s="131">
        <f>IF(NFI_Expiration=1,IF($A158&lt;VLOOKUP(O$5,NFI,5,0),1,0)*Data_NFI_t[[#This Row],[Kitchen Set]],0)</f>
        <v>0</v>
      </c>
      <c r="AA158" s="131">
        <f>IF(NFI_Expiration=1,IF($A158&lt;VLOOKUP(P$5,NFI,5,0),1,0)*Data_NFI_t[[#This Row],[Complementary Kit]],0)</f>
        <v>0</v>
      </c>
      <c r="AB158" s="131">
        <f>IF(NFI_Expiration=1,IF($A158&lt;VLOOKUP(Q$5,NFI,5,0),1,0)*Data_NFI_t[[#This Row],[Plastic Bucket]],0)</f>
        <v>0</v>
      </c>
      <c r="AC158" s="131">
        <f>IF(NFI_Expiration=1,IF($A158&lt;VLOOKUP(R$5,NFI,5,0),1,0)*Data_NFI_t[[#This Row],[Jerry Can]],0)</f>
        <v>0</v>
      </c>
      <c r="AD158" s="150">
        <f>IF(NFI_Expiration=1,IF($A158&lt;VLOOKUP(S$5,NFI,5,0),1,0)*Data_NFI_t[[#This Row],[Plastic Mat]],0)*IF(Data_NFI_t[[#This Row],[Distribution Date]]&gt;"01-04-2014",1,2.5)</f>
        <v>0</v>
      </c>
      <c r="AE158" s="150" t="str">
        <f ca="1">IFERROR(OFFSET(Camp_List[P_Code],MATCH(Data_NFI_t[[#This Row],[Camp Name]],Camp_List[Camp Name],0)-1,0,1,1),"")</f>
        <v>MMR012CMP051</v>
      </c>
      <c r="AF158" s="714" t="str">
        <f ca="1">IFERROR(OFFSET(Camp_List[Status],MATCH(Data_NFI_t[[#This Row],[Camp Name]],Camp_List[Camp Name],0)-1,0,1,1),"")</f>
        <v>Close</v>
      </c>
    </row>
    <row r="159" spans="1:32" s="102" customFormat="1" ht="15" customHeight="1" x14ac:dyDescent="0.25">
      <c r="A159" s="265">
        <f t="shared" si="2"/>
        <v>30.533333333333335</v>
      </c>
      <c r="B159" s="265">
        <f>YEAR(Data_NFI_t[[#This Row],[Distribution Date]])</f>
        <v>2013</v>
      </c>
      <c r="C159" s="738">
        <v>41423</v>
      </c>
      <c r="D159" s="655" t="s">
        <v>526</v>
      </c>
      <c r="E159" s="654" t="s">
        <v>526</v>
      </c>
      <c r="F159" s="655" t="s">
        <v>7</v>
      </c>
      <c r="G159" s="31" t="s">
        <v>19</v>
      </c>
      <c r="H159" s="31" t="s">
        <v>71</v>
      </c>
      <c r="I159" s="31">
        <v>203</v>
      </c>
      <c r="J159" s="61"/>
      <c r="K159" s="61"/>
      <c r="L159" s="61"/>
      <c r="M159" s="61"/>
      <c r="N159" s="61"/>
      <c r="O159" s="61"/>
      <c r="P159" s="61"/>
      <c r="Q159" s="61"/>
      <c r="R159" s="708"/>
      <c r="S159" s="61"/>
      <c r="T159" s="150">
        <f>IF(NFI_Expiration=1,IF($A159&lt;VLOOKUP(I$5,NFI,5,0),1,0)*Data_NFI_t[[#This Row],[Hygiene Kit]],0)</f>
        <v>0</v>
      </c>
      <c r="U159" s="150">
        <f>IF(NFI_Expiration=1,IF($A159&lt;VLOOKUP(J$5,NFI,5,0),1,0)*Data_NFI_t[[#This Row],[NFI Core Kit]],0)</f>
        <v>0</v>
      </c>
      <c r="V159" s="131">
        <f>IF(NFI_Expiration=1,IF($A159&lt;VLOOKUP(K$5,NFI,5,0),1,0)*Data_NFI_t[[#This Row],[Sanitary Kit]],0)</f>
        <v>0</v>
      </c>
      <c r="W159" s="131">
        <f>IF(NFI_Expiration=1,IF($A159&lt;VLOOKUP(L$5,NFI,5,0),1,0)*Data_NFI_t[[#This Row],[Mosquito net]],0)</f>
        <v>0</v>
      </c>
      <c r="X159" s="131">
        <f>IF(NFI_Expiration=1,IF($A159&lt;VLOOKUP(M$5,NFI,5,0),1,0)*Data_NFI_t[[#This Row],[Tarpaulin]],0)</f>
        <v>0</v>
      </c>
      <c r="Y159" s="131">
        <f>IF(NFI_Expiration=1,IF($A159&lt;VLOOKUP(N$5,NFI,5,0),1,0)*Data_NFI_t[[#This Row],[Blanket]],0)</f>
        <v>0</v>
      </c>
      <c r="Z159" s="131">
        <f>IF(NFI_Expiration=1,IF($A159&lt;VLOOKUP(O$5,NFI,5,0),1,0)*Data_NFI_t[[#This Row],[Kitchen Set]],0)</f>
        <v>0</v>
      </c>
      <c r="AA159" s="131">
        <f>IF(NFI_Expiration=1,IF($A159&lt;VLOOKUP(P$5,NFI,5,0),1,0)*Data_NFI_t[[#This Row],[Complementary Kit]],0)</f>
        <v>0</v>
      </c>
      <c r="AB159" s="131">
        <f>IF(NFI_Expiration=1,IF($A159&lt;VLOOKUP(Q$5,NFI,5,0),1,0)*Data_NFI_t[[#This Row],[Plastic Bucket]],0)</f>
        <v>0</v>
      </c>
      <c r="AC159" s="131">
        <f>IF(NFI_Expiration=1,IF($A159&lt;VLOOKUP(R$5,NFI,5,0),1,0)*Data_NFI_t[[#This Row],[Jerry Can]],0)</f>
        <v>0</v>
      </c>
      <c r="AD159" s="150">
        <f>IF(NFI_Expiration=1,IF($A159&lt;VLOOKUP(S$5,NFI,5,0),1,0)*Data_NFI_t[[#This Row],[Plastic Mat]],0)*IF(Data_NFI_t[[#This Row],[Distribution Date]]&gt;"01-04-2014",1,2.5)</f>
        <v>0</v>
      </c>
      <c r="AE159" s="150" t="str">
        <f ca="1">IFERROR(OFFSET(Camp_List[P_Code],MATCH(Data_NFI_t[[#This Row],[Camp Name]],Camp_List[Camp Name],0)-1,0,1,1),"")</f>
        <v>MMR012CMP049</v>
      </c>
      <c r="AF159" s="714" t="str">
        <f ca="1">IFERROR(OFFSET(Camp_List[Status],MATCH(Data_NFI_t[[#This Row],[Camp Name]],Camp_List[Camp Name],0)-1,0,1,1),"")</f>
        <v>Close</v>
      </c>
    </row>
    <row r="160" spans="1:32" s="102" customFormat="1" ht="15" customHeight="1" x14ac:dyDescent="0.25">
      <c r="A160" s="265">
        <f t="shared" si="2"/>
        <v>30.533333333333335</v>
      </c>
      <c r="B160" s="265">
        <f>YEAR(Data_NFI_t[[#This Row],[Distribution Date]])</f>
        <v>2013</v>
      </c>
      <c r="C160" s="738">
        <v>41423</v>
      </c>
      <c r="D160" s="655" t="s">
        <v>526</v>
      </c>
      <c r="E160" s="654" t="s">
        <v>526</v>
      </c>
      <c r="F160" s="655" t="s">
        <v>7</v>
      </c>
      <c r="G160" s="31" t="s">
        <v>14</v>
      </c>
      <c r="H160" s="31" t="s">
        <v>41</v>
      </c>
      <c r="I160" s="31">
        <v>173</v>
      </c>
      <c r="J160" s="61"/>
      <c r="K160" s="61"/>
      <c r="L160" s="61"/>
      <c r="M160" s="61"/>
      <c r="N160" s="61"/>
      <c r="O160" s="61"/>
      <c r="P160" s="61"/>
      <c r="Q160" s="61"/>
      <c r="R160" s="708"/>
      <c r="S160" s="61"/>
      <c r="T160" s="150">
        <f>IF(NFI_Expiration=1,IF($A160&lt;VLOOKUP(I$5,NFI,5,0),1,0)*Data_NFI_t[[#This Row],[Hygiene Kit]],0)</f>
        <v>0</v>
      </c>
      <c r="U160" s="150">
        <f>IF(NFI_Expiration=1,IF($A160&lt;VLOOKUP(J$5,NFI,5,0),1,0)*Data_NFI_t[[#This Row],[NFI Core Kit]],0)</f>
        <v>0</v>
      </c>
      <c r="V160" s="131">
        <f>IF(NFI_Expiration=1,IF($A160&lt;VLOOKUP(K$5,NFI,5,0),1,0)*Data_NFI_t[[#This Row],[Sanitary Kit]],0)</f>
        <v>0</v>
      </c>
      <c r="W160" s="131">
        <f>IF(NFI_Expiration=1,IF($A160&lt;VLOOKUP(L$5,NFI,5,0),1,0)*Data_NFI_t[[#This Row],[Mosquito net]],0)</f>
        <v>0</v>
      </c>
      <c r="X160" s="131">
        <f>IF(NFI_Expiration=1,IF($A160&lt;VLOOKUP(M$5,NFI,5,0),1,0)*Data_NFI_t[[#This Row],[Tarpaulin]],0)</f>
        <v>0</v>
      </c>
      <c r="Y160" s="131">
        <f>IF(NFI_Expiration=1,IF($A160&lt;VLOOKUP(N$5,NFI,5,0),1,0)*Data_NFI_t[[#This Row],[Blanket]],0)</f>
        <v>0</v>
      </c>
      <c r="Z160" s="131">
        <f>IF(NFI_Expiration=1,IF($A160&lt;VLOOKUP(O$5,NFI,5,0),1,0)*Data_NFI_t[[#This Row],[Kitchen Set]],0)</f>
        <v>0</v>
      </c>
      <c r="AA160" s="131">
        <f>IF(NFI_Expiration=1,IF($A160&lt;VLOOKUP(P$5,NFI,5,0),1,0)*Data_NFI_t[[#This Row],[Complementary Kit]],0)</f>
        <v>0</v>
      </c>
      <c r="AB160" s="131">
        <f>IF(NFI_Expiration=1,IF($A160&lt;VLOOKUP(Q$5,NFI,5,0),1,0)*Data_NFI_t[[#This Row],[Plastic Bucket]],0)</f>
        <v>0</v>
      </c>
      <c r="AC160" s="131">
        <f>IF(NFI_Expiration=1,IF($A160&lt;VLOOKUP(R$5,NFI,5,0),1,0)*Data_NFI_t[[#This Row],[Jerry Can]],0)</f>
        <v>0</v>
      </c>
      <c r="AD160" s="150">
        <f>IF(NFI_Expiration=1,IF($A160&lt;VLOOKUP(S$5,NFI,5,0),1,0)*Data_NFI_t[[#This Row],[Plastic Mat]],0)*IF(Data_NFI_t[[#This Row],[Distribution Date]]&gt;"01-04-2014",1,2.5)</f>
        <v>0</v>
      </c>
      <c r="AE160" s="150" t="str">
        <f ca="1">IFERROR(OFFSET(Camp_List[P_Code],MATCH(Data_NFI_t[[#This Row],[Camp Name]],Camp_List[Camp Name],0)-1,0,1,1),"")</f>
        <v>MMR012CMP017</v>
      </c>
      <c r="AF160" s="714" t="str">
        <f ca="1">IFERROR(OFFSET(Camp_List[Status],MATCH(Data_NFI_t[[#This Row],[Camp Name]],Camp_List[Camp Name],0)-1,0,1,1),"")</f>
        <v>Open</v>
      </c>
    </row>
    <row r="161" spans="1:32" s="102" customFormat="1" ht="15" customHeight="1" x14ac:dyDescent="0.25">
      <c r="A161" s="265">
        <f t="shared" si="2"/>
        <v>30.533333333333335</v>
      </c>
      <c r="B161" s="265">
        <f>YEAR(Data_NFI_t[[#This Row],[Distribution Date]])</f>
        <v>2013</v>
      </c>
      <c r="C161" s="738">
        <v>41423</v>
      </c>
      <c r="D161" s="655" t="s">
        <v>288</v>
      </c>
      <c r="E161" s="654"/>
      <c r="F161" s="655" t="s">
        <v>7</v>
      </c>
      <c r="G161" s="31" t="s">
        <v>12</v>
      </c>
      <c r="H161" s="31" t="s">
        <v>36</v>
      </c>
      <c r="I161" s="31">
        <v>0</v>
      </c>
      <c r="J161" s="61"/>
      <c r="K161" s="61"/>
      <c r="L161" s="61">
        <v>82</v>
      </c>
      <c r="M161" s="61"/>
      <c r="N161" s="61">
        <v>82</v>
      </c>
      <c r="O161" s="61">
        <v>41</v>
      </c>
      <c r="P161" s="61">
        <v>41</v>
      </c>
      <c r="Q161" s="61">
        <v>10</v>
      </c>
      <c r="R161" s="708"/>
      <c r="S161" s="61">
        <v>20</v>
      </c>
      <c r="T161" s="150">
        <f>IF(NFI_Expiration=1,IF($A161&lt;VLOOKUP(I$5,NFI,5,0),1,0)*Data_NFI_t[[#This Row],[Hygiene Kit]],0)</f>
        <v>0</v>
      </c>
      <c r="U161" s="150">
        <f>IF(NFI_Expiration=1,IF($A161&lt;VLOOKUP(J$5,NFI,5,0),1,0)*Data_NFI_t[[#This Row],[NFI Core Kit]],0)</f>
        <v>0</v>
      </c>
      <c r="V161" s="131">
        <f>IF(NFI_Expiration=1,IF($A161&lt;VLOOKUP(K$5,NFI,5,0),1,0)*Data_NFI_t[[#This Row],[Sanitary Kit]],0)</f>
        <v>0</v>
      </c>
      <c r="W161" s="131">
        <f>IF(NFI_Expiration=1,IF($A161&lt;VLOOKUP(L$5,NFI,5,0),1,0)*Data_NFI_t[[#This Row],[Mosquito net]],0)</f>
        <v>0</v>
      </c>
      <c r="X161" s="131">
        <f>IF(NFI_Expiration=1,IF($A161&lt;VLOOKUP(M$5,NFI,5,0),1,0)*Data_NFI_t[[#This Row],[Tarpaulin]],0)</f>
        <v>0</v>
      </c>
      <c r="Y161" s="131">
        <f>IF(NFI_Expiration=1,IF($A161&lt;VLOOKUP(N$5,NFI,5,0),1,0)*Data_NFI_t[[#This Row],[Blanket]],0)</f>
        <v>0</v>
      </c>
      <c r="Z161" s="131">
        <f>IF(NFI_Expiration=1,IF($A161&lt;VLOOKUP(O$5,NFI,5,0),1,0)*Data_NFI_t[[#This Row],[Kitchen Set]],0)</f>
        <v>0</v>
      </c>
      <c r="AA161" s="131">
        <f>IF(NFI_Expiration=1,IF($A161&lt;VLOOKUP(P$5,NFI,5,0),1,0)*Data_NFI_t[[#This Row],[Complementary Kit]],0)</f>
        <v>0</v>
      </c>
      <c r="AB161" s="131">
        <f>IF(NFI_Expiration=1,IF($A161&lt;VLOOKUP(Q$5,NFI,5,0),1,0)*Data_NFI_t[[#This Row],[Plastic Bucket]],0)</f>
        <v>0</v>
      </c>
      <c r="AC161" s="131">
        <f>IF(NFI_Expiration=1,IF($A161&lt;VLOOKUP(R$5,NFI,5,0),1,0)*Data_NFI_t[[#This Row],[Jerry Can]],0)</f>
        <v>0</v>
      </c>
      <c r="AD161" s="150">
        <f>IF(NFI_Expiration=1,IF($A161&lt;VLOOKUP(S$5,NFI,5,0),1,0)*Data_NFI_t[[#This Row],[Plastic Mat]],0)*IF(Data_NFI_t[[#This Row],[Distribution Date]]&gt;"01-04-2014",1,2.5)</f>
        <v>0</v>
      </c>
      <c r="AE161" s="150" t="str">
        <f ca="1">IFERROR(OFFSET(Camp_List[P_Code],MATCH(Data_NFI_t[[#This Row],[Camp Name]],Camp_List[Camp Name],0)-1,0,1,1),"")</f>
        <v>MMR012CMP012</v>
      </c>
      <c r="AF161" s="714" t="str">
        <f ca="1">IFERROR(OFFSET(Camp_List[Status],MATCH(Data_NFI_t[[#This Row],[Camp Name]],Camp_List[Camp Name],0)-1,0,1,1),"")</f>
        <v>Open</v>
      </c>
    </row>
    <row r="162" spans="1:32" s="102" customFormat="1" ht="15" customHeight="1" x14ac:dyDescent="0.25">
      <c r="A162" s="265">
        <f t="shared" si="2"/>
        <v>30.533333333333335</v>
      </c>
      <c r="B162" s="265">
        <f>YEAR(Data_NFI_t[[#This Row],[Distribution Date]])</f>
        <v>2013</v>
      </c>
      <c r="C162" s="738">
        <v>41423</v>
      </c>
      <c r="D162" s="655" t="s">
        <v>288</v>
      </c>
      <c r="E162" s="654" t="s">
        <v>295</v>
      </c>
      <c r="F162" s="655" t="s">
        <v>7</v>
      </c>
      <c r="G162" s="31" t="s">
        <v>19</v>
      </c>
      <c r="H162" s="31"/>
      <c r="I162" s="31"/>
      <c r="J162" s="61"/>
      <c r="K162" s="61"/>
      <c r="L162" s="61"/>
      <c r="M162" s="61">
        <v>1520</v>
      </c>
      <c r="N162" s="61"/>
      <c r="O162" s="61"/>
      <c r="P162" s="61"/>
      <c r="Q162" s="61"/>
      <c r="R162" s="708"/>
      <c r="S162" s="61"/>
      <c r="T162" s="150">
        <f>IF(NFI_Expiration=1,IF($A162&lt;VLOOKUP(I$5,NFI,5,0),1,0)*Data_NFI_t[[#This Row],[Hygiene Kit]],0)</f>
        <v>0</v>
      </c>
      <c r="U162" s="150">
        <f>IF(NFI_Expiration=1,IF($A162&lt;VLOOKUP(J$5,NFI,5,0),1,0)*Data_NFI_t[[#This Row],[NFI Core Kit]],0)</f>
        <v>0</v>
      </c>
      <c r="V162" s="131">
        <f>IF(NFI_Expiration=1,IF($A162&lt;VLOOKUP(K$5,NFI,5,0),1,0)*Data_NFI_t[[#This Row],[Sanitary Kit]],0)</f>
        <v>0</v>
      </c>
      <c r="W162" s="131">
        <f>IF(NFI_Expiration=1,IF($A162&lt;VLOOKUP(L$5,NFI,5,0),1,0)*Data_NFI_t[[#This Row],[Mosquito net]],0)</f>
        <v>0</v>
      </c>
      <c r="X162" s="131">
        <f>IF(NFI_Expiration=1,IF($A162&lt;VLOOKUP(M$5,NFI,5,0),1,0)*Data_NFI_t[[#This Row],[Tarpaulin]],0)</f>
        <v>0</v>
      </c>
      <c r="Y162" s="131">
        <f>IF(NFI_Expiration=1,IF($A162&lt;VLOOKUP(N$5,NFI,5,0),1,0)*Data_NFI_t[[#This Row],[Blanket]],0)</f>
        <v>0</v>
      </c>
      <c r="Z162" s="131">
        <f>IF(NFI_Expiration=1,IF($A162&lt;VLOOKUP(O$5,NFI,5,0),1,0)*Data_NFI_t[[#This Row],[Kitchen Set]],0)</f>
        <v>0</v>
      </c>
      <c r="AA162" s="131">
        <f>IF(NFI_Expiration=1,IF($A162&lt;VLOOKUP(P$5,NFI,5,0),1,0)*Data_NFI_t[[#This Row],[Complementary Kit]],0)</f>
        <v>0</v>
      </c>
      <c r="AB162" s="131">
        <f>IF(NFI_Expiration=1,IF($A162&lt;VLOOKUP(Q$5,NFI,5,0),1,0)*Data_NFI_t[[#This Row],[Plastic Bucket]],0)</f>
        <v>0</v>
      </c>
      <c r="AC162" s="131">
        <f>IF(NFI_Expiration=1,IF($A162&lt;VLOOKUP(R$5,NFI,5,0),1,0)*Data_NFI_t[[#This Row],[Jerry Can]],0)</f>
        <v>0</v>
      </c>
      <c r="AD162" s="150">
        <f>IF(NFI_Expiration=1,IF($A162&lt;VLOOKUP(S$5,NFI,5,0),1,0)*Data_NFI_t[[#This Row],[Plastic Mat]],0)*IF(Data_NFI_t[[#This Row],[Distribution Date]]&gt;"01-04-2014",1,2.5)</f>
        <v>0</v>
      </c>
      <c r="AE162" s="150" t="str">
        <f ca="1">IFERROR(OFFSET(Camp_List[P_Code],MATCH(Data_NFI_t[[#This Row],[Camp Name]],Camp_List[Camp Name],0)-1,0,1,1),"")</f>
        <v/>
      </c>
      <c r="AF162" s="714" t="str">
        <f ca="1">IFERROR(OFFSET(Camp_List[Status],MATCH(Data_NFI_t[[#This Row],[Camp Name]],Camp_List[Camp Name],0)-1,0,1,1),"")</f>
        <v/>
      </c>
    </row>
    <row r="163" spans="1:32" s="102" customFormat="1" ht="15" customHeight="1" x14ac:dyDescent="0.25">
      <c r="A163" s="265">
        <f t="shared" si="2"/>
        <v>30.566666666666666</v>
      </c>
      <c r="B163" s="265">
        <f>YEAR(Data_NFI_t[[#This Row],[Distribution Date]])</f>
        <v>2013</v>
      </c>
      <c r="C163" s="738">
        <v>41422</v>
      </c>
      <c r="D163" s="655" t="s">
        <v>288</v>
      </c>
      <c r="E163" s="654"/>
      <c r="F163" s="655" t="s">
        <v>7</v>
      </c>
      <c r="G163" s="31" t="s">
        <v>19</v>
      </c>
      <c r="H163" s="31" t="s">
        <v>73</v>
      </c>
      <c r="I163" s="31"/>
      <c r="J163" s="61"/>
      <c r="K163" s="61"/>
      <c r="L163" s="61"/>
      <c r="M163" s="61">
        <v>1315</v>
      </c>
      <c r="N163" s="61"/>
      <c r="O163" s="61"/>
      <c r="P163" s="61"/>
      <c r="Q163" s="61"/>
      <c r="R163" s="708"/>
      <c r="S163" s="61"/>
      <c r="T163" s="150">
        <f>IF(NFI_Expiration=1,IF($A163&lt;VLOOKUP(I$5,NFI,5,0),1,0)*Data_NFI_t[[#This Row],[Hygiene Kit]],0)</f>
        <v>0</v>
      </c>
      <c r="U163" s="150">
        <f>IF(NFI_Expiration=1,IF($A163&lt;VLOOKUP(J$5,NFI,5,0),1,0)*Data_NFI_t[[#This Row],[NFI Core Kit]],0)</f>
        <v>0</v>
      </c>
      <c r="V163" s="131">
        <f>IF(NFI_Expiration=1,IF($A163&lt;VLOOKUP(K$5,NFI,5,0),1,0)*Data_NFI_t[[#This Row],[Sanitary Kit]],0)</f>
        <v>0</v>
      </c>
      <c r="W163" s="131">
        <f>IF(NFI_Expiration=1,IF($A163&lt;VLOOKUP(L$5,NFI,5,0),1,0)*Data_NFI_t[[#This Row],[Mosquito net]],0)</f>
        <v>0</v>
      </c>
      <c r="X163" s="131">
        <f>IF(NFI_Expiration=1,IF($A163&lt;VLOOKUP(M$5,NFI,5,0),1,0)*Data_NFI_t[[#This Row],[Tarpaulin]],0)</f>
        <v>0</v>
      </c>
      <c r="Y163" s="131">
        <f>IF(NFI_Expiration=1,IF($A163&lt;VLOOKUP(N$5,NFI,5,0),1,0)*Data_NFI_t[[#This Row],[Blanket]],0)</f>
        <v>0</v>
      </c>
      <c r="Z163" s="131">
        <f>IF(NFI_Expiration=1,IF($A163&lt;VLOOKUP(O$5,NFI,5,0),1,0)*Data_NFI_t[[#This Row],[Kitchen Set]],0)</f>
        <v>0</v>
      </c>
      <c r="AA163" s="131">
        <f>IF(NFI_Expiration=1,IF($A163&lt;VLOOKUP(P$5,NFI,5,0),1,0)*Data_NFI_t[[#This Row],[Complementary Kit]],0)</f>
        <v>0</v>
      </c>
      <c r="AB163" s="131">
        <f>IF(NFI_Expiration=1,IF($A163&lt;VLOOKUP(Q$5,NFI,5,0),1,0)*Data_NFI_t[[#This Row],[Plastic Bucket]],0)</f>
        <v>0</v>
      </c>
      <c r="AC163" s="131">
        <f>IF(NFI_Expiration=1,IF($A163&lt;VLOOKUP(R$5,NFI,5,0),1,0)*Data_NFI_t[[#This Row],[Jerry Can]],0)</f>
        <v>0</v>
      </c>
      <c r="AD163" s="150">
        <f>IF(NFI_Expiration=1,IF($A163&lt;VLOOKUP(S$5,NFI,5,0),1,0)*Data_NFI_t[[#This Row],[Plastic Mat]],0)*IF(Data_NFI_t[[#This Row],[Distribution Date]]&gt;"01-04-2014",1,2.5)</f>
        <v>0</v>
      </c>
      <c r="AE163" s="150" t="str">
        <f ca="1">IFERROR(OFFSET(Camp_List[P_Code],MATCH(Data_NFI_t[[#This Row],[Camp Name]],Camp_List[Camp Name],0)-1,0,1,1),"")</f>
        <v>MMR012CMP051</v>
      </c>
      <c r="AF163" s="714" t="str">
        <f ca="1">IFERROR(OFFSET(Camp_List[Status],MATCH(Data_NFI_t[[#This Row],[Camp Name]],Camp_List[Camp Name],0)-1,0,1,1),"")</f>
        <v>Close</v>
      </c>
    </row>
    <row r="164" spans="1:32" s="102" customFormat="1" ht="15" customHeight="1" x14ac:dyDescent="0.25">
      <c r="A164" s="265">
        <f t="shared" si="2"/>
        <v>30.566666666666666</v>
      </c>
      <c r="B164" s="265">
        <f>YEAR(Data_NFI_t[[#This Row],[Distribution Date]])</f>
        <v>2013</v>
      </c>
      <c r="C164" s="738">
        <v>41422</v>
      </c>
      <c r="D164" s="655" t="s">
        <v>288</v>
      </c>
      <c r="E164" s="654" t="s">
        <v>288</v>
      </c>
      <c r="F164" s="655" t="s">
        <v>7</v>
      </c>
      <c r="G164" s="31" t="s">
        <v>19</v>
      </c>
      <c r="H164" s="31" t="s">
        <v>76</v>
      </c>
      <c r="I164" s="31"/>
      <c r="J164" s="61"/>
      <c r="K164" s="61"/>
      <c r="L164" s="61"/>
      <c r="M164" s="61">
        <v>358</v>
      </c>
      <c r="N164" s="61"/>
      <c r="O164" s="61"/>
      <c r="P164" s="61"/>
      <c r="Q164" s="61"/>
      <c r="R164" s="708"/>
      <c r="S164" s="61"/>
      <c r="T164" s="150">
        <f>IF(NFI_Expiration=1,IF($A164&lt;VLOOKUP(I$5,NFI,5,0),1,0)*Data_NFI_t[[#This Row],[Hygiene Kit]],0)</f>
        <v>0</v>
      </c>
      <c r="U164" s="150">
        <f>IF(NFI_Expiration=1,IF($A164&lt;VLOOKUP(J$5,NFI,5,0),1,0)*Data_NFI_t[[#This Row],[NFI Core Kit]],0)</f>
        <v>0</v>
      </c>
      <c r="V164" s="131">
        <f>IF(NFI_Expiration=1,IF($A164&lt;VLOOKUP(K$5,NFI,5,0),1,0)*Data_NFI_t[[#This Row],[Sanitary Kit]],0)</f>
        <v>0</v>
      </c>
      <c r="W164" s="131">
        <f>IF(NFI_Expiration=1,IF($A164&lt;VLOOKUP(L$5,NFI,5,0),1,0)*Data_NFI_t[[#This Row],[Mosquito net]],0)</f>
        <v>0</v>
      </c>
      <c r="X164" s="131">
        <f>IF(NFI_Expiration=1,IF($A164&lt;VLOOKUP(M$5,NFI,5,0),1,0)*Data_NFI_t[[#This Row],[Tarpaulin]],0)</f>
        <v>0</v>
      </c>
      <c r="Y164" s="131">
        <f>IF(NFI_Expiration=1,IF($A164&lt;VLOOKUP(N$5,NFI,5,0),1,0)*Data_NFI_t[[#This Row],[Blanket]],0)</f>
        <v>0</v>
      </c>
      <c r="Z164" s="131">
        <f>IF(NFI_Expiration=1,IF($A164&lt;VLOOKUP(O$5,NFI,5,0),1,0)*Data_NFI_t[[#This Row],[Kitchen Set]],0)</f>
        <v>0</v>
      </c>
      <c r="AA164" s="131">
        <f>IF(NFI_Expiration=1,IF($A164&lt;VLOOKUP(P$5,NFI,5,0),1,0)*Data_NFI_t[[#This Row],[Complementary Kit]],0)</f>
        <v>0</v>
      </c>
      <c r="AB164" s="131">
        <f>IF(NFI_Expiration=1,IF($A164&lt;VLOOKUP(Q$5,NFI,5,0),1,0)*Data_NFI_t[[#This Row],[Plastic Bucket]],0)</f>
        <v>0</v>
      </c>
      <c r="AC164" s="131">
        <f>IF(NFI_Expiration=1,IF($A164&lt;VLOOKUP(R$5,NFI,5,0),1,0)*Data_NFI_t[[#This Row],[Jerry Can]],0)</f>
        <v>0</v>
      </c>
      <c r="AD164" s="150">
        <f>IF(NFI_Expiration=1,IF($A164&lt;VLOOKUP(S$5,NFI,5,0),1,0)*Data_NFI_t[[#This Row],[Plastic Mat]],0)*IF(Data_NFI_t[[#This Row],[Distribution Date]]&gt;"01-04-2014",1,2.5)</f>
        <v>0</v>
      </c>
      <c r="AE164" s="150" t="str">
        <f ca="1">IFERROR(OFFSET(Camp_List[P_Code],MATCH(Data_NFI_t[[#This Row],[Camp Name]],Camp_List[Camp Name],0)-1,0,1,1),"")</f>
        <v>MMR012CMP054</v>
      </c>
      <c r="AF164" s="714" t="str">
        <f ca="1">IFERROR(OFFSET(Camp_List[Status],MATCH(Data_NFI_t[[#This Row],[Camp Name]],Camp_List[Camp Name],0)-1,0,1,1),"")</f>
        <v>Close</v>
      </c>
    </row>
    <row r="165" spans="1:32" s="102" customFormat="1" ht="15" customHeight="1" x14ac:dyDescent="0.25">
      <c r="A165" s="265">
        <f t="shared" si="2"/>
        <v>30.6</v>
      </c>
      <c r="B165" s="265">
        <f>YEAR(Data_NFI_t[[#This Row],[Distribution Date]])</f>
        <v>2013</v>
      </c>
      <c r="C165" s="738">
        <v>41421</v>
      </c>
      <c r="D165" s="655" t="s">
        <v>288</v>
      </c>
      <c r="E165" s="654" t="s">
        <v>288</v>
      </c>
      <c r="F165" s="655" t="s">
        <v>7</v>
      </c>
      <c r="G165" s="31" t="s">
        <v>19</v>
      </c>
      <c r="H165" s="31" t="s">
        <v>71</v>
      </c>
      <c r="I165" s="31"/>
      <c r="J165" s="61"/>
      <c r="K165" s="61"/>
      <c r="L165" s="61"/>
      <c r="M165" s="61">
        <v>246</v>
      </c>
      <c r="N165" s="61"/>
      <c r="O165" s="61"/>
      <c r="P165" s="61"/>
      <c r="Q165" s="61"/>
      <c r="R165" s="708"/>
      <c r="S165" s="61"/>
      <c r="T165" s="150">
        <f>IF(NFI_Expiration=1,IF($A165&lt;VLOOKUP(I$5,NFI,5,0),1,0)*Data_NFI_t[[#This Row],[Hygiene Kit]],0)</f>
        <v>0</v>
      </c>
      <c r="U165" s="150">
        <f>IF(NFI_Expiration=1,IF($A165&lt;VLOOKUP(J$5,NFI,5,0),1,0)*Data_NFI_t[[#This Row],[NFI Core Kit]],0)</f>
        <v>0</v>
      </c>
      <c r="V165" s="131">
        <f>IF(NFI_Expiration=1,IF($A165&lt;VLOOKUP(K$5,NFI,5,0),1,0)*Data_NFI_t[[#This Row],[Sanitary Kit]],0)</f>
        <v>0</v>
      </c>
      <c r="W165" s="131">
        <f>IF(NFI_Expiration=1,IF($A165&lt;VLOOKUP(L$5,NFI,5,0),1,0)*Data_NFI_t[[#This Row],[Mosquito net]],0)</f>
        <v>0</v>
      </c>
      <c r="X165" s="131">
        <f>IF(NFI_Expiration=1,IF($A165&lt;VLOOKUP(M$5,NFI,5,0),1,0)*Data_NFI_t[[#This Row],[Tarpaulin]],0)</f>
        <v>0</v>
      </c>
      <c r="Y165" s="131">
        <f>IF(NFI_Expiration=1,IF($A165&lt;VLOOKUP(N$5,NFI,5,0),1,0)*Data_NFI_t[[#This Row],[Blanket]],0)</f>
        <v>0</v>
      </c>
      <c r="Z165" s="131">
        <f>IF(NFI_Expiration=1,IF($A165&lt;VLOOKUP(O$5,NFI,5,0),1,0)*Data_NFI_t[[#This Row],[Kitchen Set]],0)</f>
        <v>0</v>
      </c>
      <c r="AA165" s="131">
        <f>IF(NFI_Expiration=1,IF($A165&lt;VLOOKUP(P$5,NFI,5,0),1,0)*Data_NFI_t[[#This Row],[Complementary Kit]],0)</f>
        <v>0</v>
      </c>
      <c r="AB165" s="131">
        <f>IF(NFI_Expiration=1,IF($A165&lt;VLOOKUP(Q$5,NFI,5,0),1,0)*Data_NFI_t[[#This Row],[Plastic Bucket]],0)</f>
        <v>0</v>
      </c>
      <c r="AC165" s="131">
        <f>IF(NFI_Expiration=1,IF($A165&lt;VLOOKUP(R$5,NFI,5,0),1,0)*Data_NFI_t[[#This Row],[Jerry Can]],0)</f>
        <v>0</v>
      </c>
      <c r="AD165" s="150">
        <f>IF(NFI_Expiration=1,IF($A165&lt;VLOOKUP(S$5,NFI,5,0),1,0)*Data_NFI_t[[#This Row],[Plastic Mat]],0)*IF(Data_NFI_t[[#This Row],[Distribution Date]]&gt;"01-04-2014",1,2.5)</f>
        <v>0</v>
      </c>
      <c r="AE165" s="150" t="str">
        <f ca="1">IFERROR(OFFSET(Camp_List[P_Code],MATCH(Data_NFI_t[[#This Row],[Camp Name]],Camp_List[Camp Name],0)-1,0,1,1),"")</f>
        <v>MMR012CMP049</v>
      </c>
      <c r="AF165" s="714" t="str">
        <f ca="1">IFERROR(OFFSET(Camp_List[Status],MATCH(Data_NFI_t[[#This Row],[Camp Name]],Camp_List[Camp Name],0)-1,0,1,1),"")</f>
        <v>Close</v>
      </c>
    </row>
    <row r="166" spans="1:32" s="102" customFormat="1" ht="15" customHeight="1" x14ac:dyDescent="0.25">
      <c r="A166" s="265">
        <f t="shared" si="2"/>
        <v>30.6</v>
      </c>
      <c r="B166" s="265">
        <f>YEAR(Data_NFI_t[[#This Row],[Distribution Date]])</f>
        <v>2013</v>
      </c>
      <c r="C166" s="738">
        <v>41421</v>
      </c>
      <c r="D166" s="655" t="s">
        <v>288</v>
      </c>
      <c r="E166" s="654"/>
      <c r="F166" s="655" t="s">
        <v>7</v>
      </c>
      <c r="G166" s="31" t="s">
        <v>19</v>
      </c>
      <c r="H166" s="31" t="s">
        <v>64</v>
      </c>
      <c r="I166" s="31"/>
      <c r="J166" s="61"/>
      <c r="K166" s="61"/>
      <c r="L166" s="61"/>
      <c r="M166" s="61">
        <v>86</v>
      </c>
      <c r="N166" s="61"/>
      <c r="O166" s="61"/>
      <c r="P166" s="61"/>
      <c r="Q166" s="61"/>
      <c r="R166" s="708"/>
      <c r="S166" s="61"/>
      <c r="T166" s="150">
        <f>IF(NFI_Expiration=1,IF($A166&lt;VLOOKUP(I$5,NFI,5,0),1,0)*Data_NFI_t[[#This Row],[Hygiene Kit]],0)</f>
        <v>0</v>
      </c>
      <c r="U166" s="150">
        <f>IF(NFI_Expiration=1,IF($A166&lt;VLOOKUP(J$5,NFI,5,0),1,0)*Data_NFI_t[[#This Row],[NFI Core Kit]],0)</f>
        <v>0</v>
      </c>
      <c r="V166" s="131">
        <f>IF(NFI_Expiration=1,IF($A166&lt;VLOOKUP(K$5,NFI,5,0),1,0)*Data_NFI_t[[#This Row],[Sanitary Kit]],0)</f>
        <v>0</v>
      </c>
      <c r="W166" s="131">
        <f>IF(NFI_Expiration=1,IF($A166&lt;VLOOKUP(L$5,NFI,5,0),1,0)*Data_NFI_t[[#This Row],[Mosquito net]],0)</f>
        <v>0</v>
      </c>
      <c r="X166" s="131">
        <f>IF(NFI_Expiration=1,IF($A166&lt;VLOOKUP(M$5,NFI,5,0),1,0)*Data_NFI_t[[#This Row],[Tarpaulin]],0)</f>
        <v>0</v>
      </c>
      <c r="Y166" s="131">
        <f>IF(NFI_Expiration=1,IF($A166&lt;VLOOKUP(N$5,NFI,5,0),1,0)*Data_NFI_t[[#This Row],[Blanket]],0)</f>
        <v>0</v>
      </c>
      <c r="Z166" s="131">
        <f>IF(NFI_Expiration=1,IF($A166&lt;VLOOKUP(O$5,NFI,5,0),1,0)*Data_NFI_t[[#This Row],[Kitchen Set]],0)</f>
        <v>0</v>
      </c>
      <c r="AA166" s="131">
        <f>IF(NFI_Expiration=1,IF($A166&lt;VLOOKUP(P$5,NFI,5,0),1,0)*Data_NFI_t[[#This Row],[Complementary Kit]],0)</f>
        <v>0</v>
      </c>
      <c r="AB166" s="131">
        <f>IF(NFI_Expiration=1,IF($A166&lt;VLOOKUP(Q$5,NFI,5,0),1,0)*Data_NFI_t[[#This Row],[Plastic Bucket]],0)</f>
        <v>0</v>
      </c>
      <c r="AC166" s="131">
        <f>IF(NFI_Expiration=1,IF($A166&lt;VLOOKUP(R$5,NFI,5,0),1,0)*Data_NFI_t[[#This Row],[Jerry Can]],0)</f>
        <v>0</v>
      </c>
      <c r="AD166" s="150">
        <f>IF(NFI_Expiration=1,IF($A166&lt;VLOOKUP(S$5,NFI,5,0),1,0)*Data_NFI_t[[#This Row],[Plastic Mat]],0)*IF(Data_NFI_t[[#This Row],[Distribution Date]]&gt;"01-04-2014",1,2.5)</f>
        <v>0</v>
      </c>
      <c r="AE166" s="150" t="str">
        <f ca="1">IFERROR(OFFSET(Camp_List[P_Code],MATCH(Data_NFI_t[[#This Row],[Camp Name]],Camp_List[Camp Name],0)-1,0,1,1),"")</f>
        <v>MMR012CMP042</v>
      </c>
      <c r="AF166" s="714" t="str">
        <f ca="1">IFERROR(OFFSET(Camp_List[Status],MATCH(Data_NFI_t[[#This Row],[Camp Name]],Camp_List[Camp Name],0)-1,0,1,1),"")</f>
        <v>Open</v>
      </c>
    </row>
    <row r="167" spans="1:32" s="102" customFormat="1" ht="15" customHeight="1" x14ac:dyDescent="0.25">
      <c r="A167" s="265">
        <f t="shared" si="2"/>
        <v>30.733333333333334</v>
      </c>
      <c r="B167" s="265">
        <f>YEAR(Data_NFI_t[[#This Row],[Distribution Date]])</f>
        <v>2013</v>
      </c>
      <c r="C167" s="738">
        <v>41417</v>
      </c>
      <c r="D167" s="655" t="s">
        <v>526</v>
      </c>
      <c r="E167" s="654" t="s">
        <v>526</v>
      </c>
      <c r="F167" s="655" t="s">
        <v>7</v>
      </c>
      <c r="G167" s="31" t="s">
        <v>19</v>
      </c>
      <c r="H167" s="31" t="s">
        <v>70</v>
      </c>
      <c r="I167" s="31">
        <v>4795</v>
      </c>
      <c r="J167" s="61"/>
      <c r="K167" s="61"/>
      <c r="L167" s="61"/>
      <c r="M167" s="61"/>
      <c r="N167" s="61"/>
      <c r="O167" s="61"/>
      <c r="P167" s="61"/>
      <c r="Q167" s="61"/>
      <c r="R167" s="708"/>
      <c r="S167" s="61"/>
      <c r="T167" s="150">
        <f>IF(NFI_Expiration=1,IF($A167&lt;VLOOKUP(I$5,NFI,5,0),1,0)*Data_NFI_t[[#This Row],[Hygiene Kit]],0)</f>
        <v>0</v>
      </c>
      <c r="U167" s="150">
        <f>IF(NFI_Expiration=1,IF($A167&lt;VLOOKUP(J$5,NFI,5,0),1,0)*Data_NFI_t[[#This Row],[NFI Core Kit]],0)</f>
        <v>0</v>
      </c>
      <c r="V167" s="131">
        <f>IF(NFI_Expiration=1,IF($A167&lt;VLOOKUP(K$5,NFI,5,0),1,0)*Data_NFI_t[[#This Row],[Sanitary Kit]],0)</f>
        <v>0</v>
      </c>
      <c r="W167" s="131">
        <f>IF(NFI_Expiration=1,IF($A167&lt;VLOOKUP(L$5,NFI,5,0),1,0)*Data_NFI_t[[#This Row],[Mosquito net]],0)</f>
        <v>0</v>
      </c>
      <c r="X167" s="131">
        <f>IF(NFI_Expiration=1,IF($A167&lt;VLOOKUP(M$5,NFI,5,0),1,0)*Data_NFI_t[[#This Row],[Tarpaulin]],0)</f>
        <v>0</v>
      </c>
      <c r="Y167" s="131">
        <f>IF(NFI_Expiration=1,IF($A167&lt;VLOOKUP(N$5,NFI,5,0),1,0)*Data_NFI_t[[#This Row],[Blanket]],0)</f>
        <v>0</v>
      </c>
      <c r="Z167" s="131">
        <f>IF(NFI_Expiration=1,IF($A167&lt;VLOOKUP(O$5,NFI,5,0),1,0)*Data_NFI_t[[#This Row],[Kitchen Set]],0)</f>
        <v>0</v>
      </c>
      <c r="AA167" s="131">
        <f>IF(NFI_Expiration=1,IF($A167&lt;VLOOKUP(P$5,NFI,5,0),1,0)*Data_NFI_t[[#This Row],[Complementary Kit]],0)</f>
        <v>0</v>
      </c>
      <c r="AB167" s="131">
        <f>IF(NFI_Expiration=1,IF($A167&lt;VLOOKUP(Q$5,NFI,5,0),1,0)*Data_NFI_t[[#This Row],[Plastic Bucket]],0)</f>
        <v>0</v>
      </c>
      <c r="AC167" s="131">
        <f>IF(NFI_Expiration=1,IF($A167&lt;VLOOKUP(R$5,NFI,5,0),1,0)*Data_NFI_t[[#This Row],[Jerry Can]],0)</f>
        <v>0</v>
      </c>
      <c r="AD167" s="150">
        <f>IF(NFI_Expiration=1,IF($A167&lt;VLOOKUP(S$5,NFI,5,0),1,0)*Data_NFI_t[[#This Row],[Plastic Mat]],0)*IF(Data_NFI_t[[#This Row],[Distribution Date]]&gt;"01-04-2014",1,2.5)</f>
        <v>0</v>
      </c>
      <c r="AE167" s="150" t="str">
        <f ca="1">IFERROR(OFFSET(Camp_List[P_Code],MATCH(Data_NFI_t[[#This Row],[Camp Name]],Camp_List[Camp Name],0)-1,0,1,1),"")</f>
        <v>MMR012CMP048</v>
      </c>
      <c r="AF167" s="714" t="str">
        <f ca="1">IFERROR(OFFSET(Camp_List[Status],MATCH(Data_NFI_t[[#This Row],[Camp Name]],Camp_List[Camp Name],0)-1,0,1,1),"")</f>
        <v>Open</v>
      </c>
    </row>
    <row r="168" spans="1:32" s="102" customFormat="1" ht="15" customHeight="1" x14ac:dyDescent="0.25">
      <c r="A168" s="265">
        <f t="shared" si="2"/>
        <v>30.766666666666666</v>
      </c>
      <c r="B168" s="265">
        <f>YEAR(Data_NFI_t[[#This Row],[Distribution Date]])</f>
        <v>2013</v>
      </c>
      <c r="C168" s="738">
        <v>41416</v>
      </c>
      <c r="D168" s="655" t="s">
        <v>526</v>
      </c>
      <c r="E168" s="654" t="s">
        <v>526</v>
      </c>
      <c r="F168" s="655" t="s">
        <v>7</v>
      </c>
      <c r="G168" s="31" t="s">
        <v>14</v>
      </c>
      <c r="H168" s="31" t="s">
        <v>42</v>
      </c>
      <c r="I168" s="31">
        <v>903</v>
      </c>
      <c r="J168" s="61"/>
      <c r="K168" s="61"/>
      <c r="L168" s="61"/>
      <c r="M168" s="61"/>
      <c r="N168" s="61"/>
      <c r="O168" s="61"/>
      <c r="P168" s="61"/>
      <c r="Q168" s="61"/>
      <c r="R168" s="708"/>
      <c r="S168" s="61"/>
      <c r="T168" s="150">
        <f>IF(NFI_Expiration=1,IF($A168&lt;VLOOKUP(I$5,NFI,5,0),1,0)*Data_NFI_t[[#This Row],[Hygiene Kit]],0)</f>
        <v>0</v>
      </c>
      <c r="U168" s="150">
        <f>IF(NFI_Expiration=1,IF($A168&lt;VLOOKUP(J$5,NFI,5,0),1,0)*Data_NFI_t[[#This Row],[NFI Core Kit]],0)</f>
        <v>0</v>
      </c>
      <c r="V168" s="131">
        <f>IF(NFI_Expiration=1,IF($A168&lt;VLOOKUP(K$5,NFI,5,0),1,0)*Data_NFI_t[[#This Row],[Sanitary Kit]],0)</f>
        <v>0</v>
      </c>
      <c r="W168" s="131">
        <f>IF(NFI_Expiration=1,IF($A168&lt;VLOOKUP(L$5,NFI,5,0),1,0)*Data_NFI_t[[#This Row],[Mosquito net]],0)</f>
        <v>0</v>
      </c>
      <c r="X168" s="131">
        <f>IF(NFI_Expiration=1,IF($A168&lt;VLOOKUP(M$5,NFI,5,0),1,0)*Data_NFI_t[[#This Row],[Tarpaulin]],0)</f>
        <v>0</v>
      </c>
      <c r="Y168" s="131">
        <f>IF(NFI_Expiration=1,IF($A168&lt;VLOOKUP(N$5,NFI,5,0),1,0)*Data_NFI_t[[#This Row],[Blanket]],0)</f>
        <v>0</v>
      </c>
      <c r="Z168" s="131">
        <f>IF(NFI_Expiration=1,IF($A168&lt;VLOOKUP(O$5,NFI,5,0),1,0)*Data_NFI_t[[#This Row],[Kitchen Set]],0)</f>
        <v>0</v>
      </c>
      <c r="AA168" s="131">
        <f>IF(NFI_Expiration=1,IF($A168&lt;VLOOKUP(P$5,NFI,5,0),1,0)*Data_NFI_t[[#This Row],[Complementary Kit]],0)</f>
        <v>0</v>
      </c>
      <c r="AB168" s="131">
        <f>IF(NFI_Expiration=1,IF($A168&lt;VLOOKUP(Q$5,NFI,5,0),1,0)*Data_NFI_t[[#This Row],[Plastic Bucket]],0)</f>
        <v>0</v>
      </c>
      <c r="AC168" s="131">
        <f>IF(NFI_Expiration=1,IF($A168&lt;VLOOKUP(R$5,NFI,5,0),1,0)*Data_NFI_t[[#This Row],[Jerry Can]],0)</f>
        <v>0</v>
      </c>
      <c r="AD168" s="150">
        <f>IF(NFI_Expiration=1,IF($A168&lt;VLOOKUP(S$5,NFI,5,0),1,0)*Data_NFI_t[[#This Row],[Plastic Mat]],0)*IF(Data_NFI_t[[#This Row],[Distribution Date]]&gt;"01-04-2014",1,2.5)</f>
        <v>0</v>
      </c>
      <c r="AE168" s="150" t="str">
        <f ca="1">IFERROR(OFFSET(Camp_List[P_Code],MATCH(Data_NFI_t[[#This Row],[Camp Name]],Camp_List[Camp Name],0)-1,0,1,1),"")</f>
        <v>MMR012CMP018</v>
      </c>
      <c r="AF168" s="714" t="str">
        <f ca="1">IFERROR(OFFSET(Camp_List[Status],MATCH(Data_NFI_t[[#This Row],[Camp Name]],Camp_List[Camp Name],0)-1,0,1,1),"")</f>
        <v>Open</v>
      </c>
    </row>
    <row r="169" spans="1:32" s="102" customFormat="1" ht="15" customHeight="1" x14ac:dyDescent="0.25">
      <c r="A169" s="265">
        <f t="shared" si="2"/>
        <v>31.5</v>
      </c>
      <c r="B169" s="265">
        <f>YEAR(Data_NFI_t[[#This Row],[Distribution Date]])</f>
        <v>2013</v>
      </c>
      <c r="C169" s="738">
        <v>41394</v>
      </c>
      <c r="D169" s="655" t="s">
        <v>288</v>
      </c>
      <c r="E169" s="654"/>
      <c r="F169" s="655" t="s">
        <v>7</v>
      </c>
      <c r="G169" s="31" t="s">
        <v>14</v>
      </c>
      <c r="H169" s="31"/>
      <c r="I169" s="31"/>
      <c r="J169" s="61"/>
      <c r="K169" s="61"/>
      <c r="L169" s="61"/>
      <c r="M169" s="61"/>
      <c r="N169" s="61">
        <v>1</v>
      </c>
      <c r="O169" s="61"/>
      <c r="P169" s="61"/>
      <c r="Q169" s="61"/>
      <c r="R169" s="708"/>
      <c r="S169" s="61"/>
      <c r="T169" s="150">
        <f>IF(NFI_Expiration=1,IF($A169&lt;VLOOKUP(I$5,NFI,5,0),1,0)*Data_NFI_t[[#This Row],[Hygiene Kit]],0)</f>
        <v>0</v>
      </c>
      <c r="U169" s="150">
        <f>IF(NFI_Expiration=1,IF($A169&lt;VLOOKUP(J$5,NFI,5,0),1,0)*Data_NFI_t[[#This Row],[NFI Core Kit]],0)</f>
        <v>0</v>
      </c>
      <c r="V169" s="131">
        <f>IF(NFI_Expiration=1,IF($A169&lt;VLOOKUP(K$5,NFI,5,0),1,0)*Data_NFI_t[[#This Row],[Sanitary Kit]],0)</f>
        <v>0</v>
      </c>
      <c r="W169" s="131">
        <f>IF(NFI_Expiration=1,IF($A169&lt;VLOOKUP(L$5,NFI,5,0),1,0)*Data_NFI_t[[#This Row],[Mosquito net]],0)</f>
        <v>0</v>
      </c>
      <c r="X169" s="131">
        <f>IF(NFI_Expiration=1,IF($A169&lt;VLOOKUP(M$5,NFI,5,0),1,0)*Data_NFI_t[[#This Row],[Tarpaulin]],0)</f>
        <v>0</v>
      </c>
      <c r="Y169" s="131">
        <f>IF(NFI_Expiration=1,IF($A169&lt;VLOOKUP(N$5,NFI,5,0),1,0)*Data_NFI_t[[#This Row],[Blanket]],0)</f>
        <v>0</v>
      </c>
      <c r="Z169" s="131">
        <f>IF(NFI_Expiration=1,IF($A169&lt;VLOOKUP(O$5,NFI,5,0),1,0)*Data_NFI_t[[#This Row],[Kitchen Set]],0)</f>
        <v>0</v>
      </c>
      <c r="AA169" s="131">
        <f>IF(NFI_Expiration=1,IF($A169&lt;VLOOKUP(P$5,NFI,5,0),1,0)*Data_NFI_t[[#This Row],[Complementary Kit]],0)</f>
        <v>0</v>
      </c>
      <c r="AB169" s="131">
        <f>IF(NFI_Expiration=1,IF($A169&lt;VLOOKUP(Q$5,NFI,5,0),1,0)*Data_NFI_t[[#This Row],[Plastic Bucket]],0)</f>
        <v>0</v>
      </c>
      <c r="AC169" s="131">
        <f>IF(NFI_Expiration=1,IF($A169&lt;VLOOKUP(R$5,NFI,5,0),1,0)*Data_NFI_t[[#This Row],[Jerry Can]],0)</f>
        <v>0</v>
      </c>
      <c r="AD169" s="150">
        <f>IF(NFI_Expiration=1,IF($A169&lt;VLOOKUP(S$5,NFI,5,0),1,0)*Data_NFI_t[[#This Row],[Plastic Mat]],0)*IF(Data_NFI_t[[#This Row],[Distribution Date]]&gt;"01-04-2014",1,2.5)</f>
        <v>0</v>
      </c>
      <c r="AE169" s="150" t="str">
        <f ca="1">IFERROR(OFFSET(Camp_List[P_Code],MATCH(Data_NFI_t[[#This Row],[Camp Name]],Camp_List[Camp Name],0)-1,0,1,1),"")</f>
        <v/>
      </c>
      <c r="AF169" s="714" t="str">
        <f ca="1">IFERROR(OFFSET(Camp_List[Status],MATCH(Data_NFI_t[[#This Row],[Camp Name]],Camp_List[Camp Name],0)-1,0,1,1),"")</f>
        <v/>
      </c>
    </row>
    <row r="170" spans="1:32" s="102" customFormat="1" ht="15" customHeight="1" x14ac:dyDescent="0.25">
      <c r="A170" s="265">
        <f t="shared" si="2"/>
        <v>31.533333333333335</v>
      </c>
      <c r="B170" s="265">
        <f>YEAR(Data_NFI_t[[#This Row],[Distribution Date]])</f>
        <v>2013</v>
      </c>
      <c r="C170" s="738">
        <v>41393</v>
      </c>
      <c r="D170" s="655" t="s">
        <v>288</v>
      </c>
      <c r="E170" s="654"/>
      <c r="F170" s="655" t="s">
        <v>7</v>
      </c>
      <c r="G170" s="31" t="s">
        <v>16</v>
      </c>
      <c r="H170" s="31" t="s">
        <v>55</v>
      </c>
      <c r="I170" s="31">
        <v>0</v>
      </c>
      <c r="J170" s="61">
        <v>64</v>
      </c>
      <c r="K170" s="61"/>
      <c r="L170" s="61">
        <v>128</v>
      </c>
      <c r="M170" s="61">
        <v>64</v>
      </c>
      <c r="N170" s="61">
        <v>128</v>
      </c>
      <c r="O170" s="61">
        <v>64</v>
      </c>
      <c r="P170" s="61">
        <v>64</v>
      </c>
      <c r="Q170" s="61">
        <v>64</v>
      </c>
      <c r="R170" s="708"/>
      <c r="S170" s="61">
        <v>128</v>
      </c>
      <c r="T170" s="150">
        <f>IF(NFI_Expiration=1,IF($A170&lt;VLOOKUP(I$5,NFI,5,0),1,0)*Data_NFI_t[[#This Row],[Hygiene Kit]],0)</f>
        <v>0</v>
      </c>
      <c r="U170" s="150">
        <f>IF(NFI_Expiration=1,IF($A170&lt;VLOOKUP(J$5,NFI,5,0),1,0)*Data_NFI_t[[#This Row],[NFI Core Kit]],0)</f>
        <v>0</v>
      </c>
      <c r="V170" s="131">
        <f>IF(NFI_Expiration=1,IF($A170&lt;VLOOKUP(K$5,NFI,5,0),1,0)*Data_NFI_t[[#This Row],[Sanitary Kit]],0)</f>
        <v>0</v>
      </c>
      <c r="W170" s="131">
        <f>IF(NFI_Expiration=1,IF($A170&lt;VLOOKUP(L$5,NFI,5,0),1,0)*Data_NFI_t[[#This Row],[Mosquito net]],0)</f>
        <v>0</v>
      </c>
      <c r="X170" s="131">
        <f>IF(NFI_Expiration=1,IF($A170&lt;VLOOKUP(M$5,NFI,5,0),1,0)*Data_NFI_t[[#This Row],[Tarpaulin]],0)</f>
        <v>0</v>
      </c>
      <c r="Y170" s="131">
        <f>IF(NFI_Expiration=1,IF($A170&lt;VLOOKUP(N$5,NFI,5,0),1,0)*Data_NFI_t[[#This Row],[Blanket]],0)</f>
        <v>0</v>
      </c>
      <c r="Z170" s="131">
        <f>IF(NFI_Expiration=1,IF($A170&lt;VLOOKUP(O$5,NFI,5,0),1,0)*Data_NFI_t[[#This Row],[Kitchen Set]],0)</f>
        <v>0</v>
      </c>
      <c r="AA170" s="131">
        <f>IF(NFI_Expiration=1,IF($A170&lt;VLOOKUP(P$5,NFI,5,0),1,0)*Data_NFI_t[[#This Row],[Complementary Kit]],0)</f>
        <v>0</v>
      </c>
      <c r="AB170" s="131">
        <f>IF(NFI_Expiration=1,IF($A170&lt;VLOOKUP(Q$5,NFI,5,0),1,0)*Data_NFI_t[[#This Row],[Plastic Bucket]],0)</f>
        <v>0</v>
      </c>
      <c r="AC170" s="131">
        <f>IF(NFI_Expiration=1,IF($A170&lt;VLOOKUP(R$5,NFI,5,0),1,0)*Data_NFI_t[[#This Row],[Jerry Can]],0)</f>
        <v>0</v>
      </c>
      <c r="AD170" s="150">
        <f>IF(NFI_Expiration=1,IF($A170&lt;VLOOKUP(S$5,NFI,5,0),1,0)*Data_NFI_t[[#This Row],[Plastic Mat]],0)*IF(Data_NFI_t[[#This Row],[Distribution Date]]&gt;"01-04-2014",1,2.5)</f>
        <v>0</v>
      </c>
      <c r="AE170" s="150" t="str">
        <f ca="1">IFERROR(OFFSET(Camp_List[P_Code],MATCH(Data_NFI_t[[#This Row],[Camp Name]],Camp_List[Camp Name],0)-1,0,1,1),"")</f>
        <v>MMR012CMP031</v>
      </c>
      <c r="AF170" s="714" t="str">
        <f ca="1">IFERROR(OFFSET(Camp_List[Status],MATCH(Data_NFI_t[[#This Row],[Camp Name]],Camp_List[Camp Name],0)-1,0,1,1),"")</f>
        <v>Open</v>
      </c>
    </row>
    <row r="171" spans="1:32" s="102" customFormat="1" ht="15" customHeight="1" x14ac:dyDescent="0.25">
      <c r="A171" s="265">
        <f t="shared" si="2"/>
        <v>31.533333333333335</v>
      </c>
      <c r="B171" s="265">
        <f>YEAR(Data_NFI_t[[#This Row],[Distribution Date]])</f>
        <v>2013</v>
      </c>
      <c r="C171" s="738">
        <v>41393</v>
      </c>
      <c r="D171" s="655" t="s">
        <v>288</v>
      </c>
      <c r="E171" s="654"/>
      <c r="F171" s="655" t="s">
        <v>7</v>
      </c>
      <c r="G171" s="31" t="s">
        <v>16</v>
      </c>
      <c r="H171" s="31" t="s">
        <v>55</v>
      </c>
      <c r="I171" s="31">
        <v>0</v>
      </c>
      <c r="J171" s="61"/>
      <c r="K171" s="61">
        <v>128</v>
      </c>
      <c r="L171" s="61">
        <v>128</v>
      </c>
      <c r="M171" s="61">
        <v>64</v>
      </c>
      <c r="N171" s="61">
        <v>0</v>
      </c>
      <c r="O171" s="61"/>
      <c r="P171" s="61"/>
      <c r="Q171" s="61"/>
      <c r="R171" s="708"/>
      <c r="S171" s="61"/>
      <c r="T171" s="150">
        <f>IF(NFI_Expiration=1,IF($A171&lt;VLOOKUP(I$5,NFI,5,0),1,0)*Data_NFI_t[[#This Row],[Hygiene Kit]],0)</f>
        <v>0</v>
      </c>
      <c r="U171" s="150">
        <f>IF(NFI_Expiration=1,IF($A171&lt;VLOOKUP(J$5,NFI,5,0),1,0)*Data_NFI_t[[#This Row],[NFI Core Kit]],0)</f>
        <v>0</v>
      </c>
      <c r="V171" s="131">
        <f>IF(NFI_Expiration=1,IF($A171&lt;VLOOKUP(K$5,NFI,5,0),1,0)*Data_NFI_t[[#This Row],[Sanitary Kit]],0)</f>
        <v>0</v>
      </c>
      <c r="W171" s="131">
        <f>IF(NFI_Expiration=1,IF($A171&lt;VLOOKUP(L$5,NFI,5,0),1,0)*Data_NFI_t[[#This Row],[Mosquito net]],0)</f>
        <v>0</v>
      </c>
      <c r="X171" s="131">
        <f>IF(NFI_Expiration=1,IF($A171&lt;VLOOKUP(M$5,NFI,5,0),1,0)*Data_NFI_t[[#This Row],[Tarpaulin]],0)</f>
        <v>0</v>
      </c>
      <c r="Y171" s="131">
        <f>IF(NFI_Expiration=1,IF($A171&lt;VLOOKUP(N$5,NFI,5,0),1,0)*Data_NFI_t[[#This Row],[Blanket]],0)</f>
        <v>0</v>
      </c>
      <c r="Z171" s="131">
        <f>IF(NFI_Expiration=1,IF($A171&lt;VLOOKUP(O$5,NFI,5,0),1,0)*Data_NFI_t[[#This Row],[Kitchen Set]],0)</f>
        <v>0</v>
      </c>
      <c r="AA171" s="131">
        <f>IF(NFI_Expiration=1,IF($A171&lt;VLOOKUP(P$5,NFI,5,0),1,0)*Data_NFI_t[[#This Row],[Complementary Kit]],0)</f>
        <v>0</v>
      </c>
      <c r="AB171" s="131">
        <f>IF(NFI_Expiration=1,IF($A171&lt;VLOOKUP(Q$5,NFI,5,0),1,0)*Data_NFI_t[[#This Row],[Plastic Bucket]],0)</f>
        <v>0</v>
      </c>
      <c r="AC171" s="131">
        <f>IF(NFI_Expiration=1,IF($A171&lt;VLOOKUP(R$5,NFI,5,0),1,0)*Data_NFI_t[[#This Row],[Jerry Can]],0)</f>
        <v>0</v>
      </c>
      <c r="AD171" s="150">
        <f>IF(NFI_Expiration=1,IF($A171&lt;VLOOKUP(S$5,NFI,5,0),1,0)*Data_NFI_t[[#This Row],[Plastic Mat]],0)*IF(Data_NFI_t[[#This Row],[Distribution Date]]&gt;"01-04-2014",1,2.5)</f>
        <v>0</v>
      </c>
      <c r="AE171" s="150" t="str">
        <f ca="1">IFERROR(OFFSET(Camp_List[P_Code],MATCH(Data_NFI_t[[#This Row],[Camp Name]],Camp_List[Camp Name],0)-1,0,1,1),"")</f>
        <v>MMR012CMP031</v>
      </c>
      <c r="AF171" s="714" t="str">
        <f ca="1">IFERROR(OFFSET(Camp_List[Status],MATCH(Data_NFI_t[[#This Row],[Camp Name]],Camp_List[Camp Name],0)-1,0,1,1),"")</f>
        <v>Open</v>
      </c>
    </row>
    <row r="172" spans="1:32" s="102" customFormat="1" ht="15" customHeight="1" x14ac:dyDescent="0.25">
      <c r="A172" s="265">
        <f t="shared" si="2"/>
        <v>31.633333333333333</v>
      </c>
      <c r="B172" s="265">
        <f>YEAR(Data_NFI_t[[#This Row],[Distribution Date]])</f>
        <v>2013</v>
      </c>
      <c r="C172" s="738">
        <v>41390</v>
      </c>
      <c r="D172" s="655" t="s">
        <v>526</v>
      </c>
      <c r="E172" s="654" t="s">
        <v>526</v>
      </c>
      <c r="F172" s="655" t="s">
        <v>7</v>
      </c>
      <c r="G172" s="31" t="s">
        <v>14</v>
      </c>
      <c r="H172" s="31" t="s">
        <v>42</v>
      </c>
      <c r="I172" s="31">
        <v>1028</v>
      </c>
      <c r="J172" s="61"/>
      <c r="K172" s="61"/>
      <c r="L172" s="61"/>
      <c r="M172" s="61"/>
      <c r="N172" s="61"/>
      <c r="O172" s="61"/>
      <c r="P172" s="61"/>
      <c r="Q172" s="61"/>
      <c r="R172" s="708"/>
      <c r="S172" s="61"/>
      <c r="T172" s="150">
        <f>IF(NFI_Expiration=1,IF($A172&lt;VLOOKUP(I$5,NFI,5,0),1,0)*Data_NFI_t[[#This Row],[Hygiene Kit]],0)</f>
        <v>0</v>
      </c>
      <c r="U172" s="150">
        <f>IF(NFI_Expiration=1,IF($A172&lt;VLOOKUP(J$5,NFI,5,0),1,0)*Data_NFI_t[[#This Row],[NFI Core Kit]],0)</f>
        <v>0</v>
      </c>
      <c r="V172" s="131">
        <f>IF(NFI_Expiration=1,IF($A172&lt;VLOOKUP(K$5,NFI,5,0),1,0)*Data_NFI_t[[#This Row],[Sanitary Kit]],0)</f>
        <v>0</v>
      </c>
      <c r="W172" s="131">
        <f>IF(NFI_Expiration=1,IF($A172&lt;VLOOKUP(L$5,NFI,5,0),1,0)*Data_NFI_t[[#This Row],[Mosquito net]],0)</f>
        <v>0</v>
      </c>
      <c r="X172" s="131">
        <f>IF(NFI_Expiration=1,IF($A172&lt;VLOOKUP(M$5,NFI,5,0),1,0)*Data_NFI_t[[#This Row],[Tarpaulin]],0)</f>
        <v>0</v>
      </c>
      <c r="Y172" s="131">
        <f>IF(NFI_Expiration=1,IF($A172&lt;VLOOKUP(N$5,NFI,5,0),1,0)*Data_NFI_t[[#This Row],[Blanket]],0)</f>
        <v>0</v>
      </c>
      <c r="Z172" s="131">
        <f>IF(NFI_Expiration=1,IF($A172&lt;VLOOKUP(O$5,NFI,5,0),1,0)*Data_NFI_t[[#This Row],[Kitchen Set]],0)</f>
        <v>0</v>
      </c>
      <c r="AA172" s="131">
        <f>IF(NFI_Expiration=1,IF($A172&lt;VLOOKUP(P$5,NFI,5,0),1,0)*Data_NFI_t[[#This Row],[Complementary Kit]],0)</f>
        <v>0</v>
      </c>
      <c r="AB172" s="131">
        <f>IF(NFI_Expiration=1,IF($A172&lt;VLOOKUP(Q$5,NFI,5,0),1,0)*Data_NFI_t[[#This Row],[Plastic Bucket]],0)</f>
        <v>0</v>
      </c>
      <c r="AC172" s="131">
        <f>IF(NFI_Expiration=1,IF($A172&lt;VLOOKUP(R$5,NFI,5,0),1,0)*Data_NFI_t[[#This Row],[Jerry Can]],0)</f>
        <v>0</v>
      </c>
      <c r="AD172" s="150">
        <f>IF(NFI_Expiration=1,IF($A172&lt;VLOOKUP(S$5,NFI,5,0),1,0)*Data_NFI_t[[#This Row],[Plastic Mat]],0)*IF(Data_NFI_t[[#This Row],[Distribution Date]]&gt;"01-04-2014",1,2.5)</f>
        <v>0</v>
      </c>
      <c r="AE172" s="150" t="str">
        <f ca="1">IFERROR(OFFSET(Camp_List[P_Code],MATCH(Data_NFI_t[[#This Row],[Camp Name]],Camp_List[Camp Name],0)-1,0,1,1),"")</f>
        <v>MMR012CMP018</v>
      </c>
      <c r="AF172" s="714" t="str">
        <f ca="1">IFERROR(OFFSET(Camp_List[Status],MATCH(Data_NFI_t[[#This Row],[Camp Name]],Camp_List[Camp Name],0)-1,0,1,1),"")</f>
        <v>Open</v>
      </c>
    </row>
    <row r="173" spans="1:32" s="102" customFormat="1" ht="15" customHeight="1" x14ac:dyDescent="0.25">
      <c r="A173" s="265">
        <f t="shared" si="2"/>
        <v>31.7</v>
      </c>
      <c r="B173" s="265">
        <f>YEAR(Data_NFI_t[[#This Row],[Distribution Date]])</f>
        <v>2013</v>
      </c>
      <c r="C173" s="738">
        <v>41388</v>
      </c>
      <c r="D173" s="655" t="s">
        <v>526</v>
      </c>
      <c r="E173" s="654" t="s">
        <v>526</v>
      </c>
      <c r="F173" s="655" t="s">
        <v>7</v>
      </c>
      <c r="G173" s="31" t="s">
        <v>14</v>
      </c>
      <c r="H173" s="31" t="s">
        <v>41</v>
      </c>
      <c r="I173" s="31">
        <v>1338</v>
      </c>
      <c r="J173" s="61"/>
      <c r="K173" s="61"/>
      <c r="L173" s="61"/>
      <c r="M173" s="61"/>
      <c r="N173" s="61"/>
      <c r="O173" s="61"/>
      <c r="P173" s="61"/>
      <c r="Q173" s="61"/>
      <c r="R173" s="708"/>
      <c r="S173" s="61"/>
      <c r="T173" s="150">
        <f>IF(NFI_Expiration=1,IF($A173&lt;VLOOKUP(I$5,NFI,5,0),1,0)*Data_NFI_t[[#This Row],[Hygiene Kit]],0)</f>
        <v>0</v>
      </c>
      <c r="U173" s="150">
        <f>IF(NFI_Expiration=1,IF($A173&lt;VLOOKUP(J$5,NFI,5,0),1,0)*Data_NFI_t[[#This Row],[NFI Core Kit]],0)</f>
        <v>0</v>
      </c>
      <c r="V173" s="131">
        <f>IF(NFI_Expiration=1,IF($A173&lt;VLOOKUP(K$5,NFI,5,0),1,0)*Data_NFI_t[[#This Row],[Sanitary Kit]],0)</f>
        <v>0</v>
      </c>
      <c r="W173" s="131">
        <f>IF(NFI_Expiration=1,IF($A173&lt;VLOOKUP(L$5,NFI,5,0),1,0)*Data_NFI_t[[#This Row],[Mosquito net]],0)</f>
        <v>0</v>
      </c>
      <c r="X173" s="131">
        <f>IF(NFI_Expiration=1,IF($A173&lt;VLOOKUP(M$5,NFI,5,0),1,0)*Data_NFI_t[[#This Row],[Tarpaulin]],0)</f>
        <v>0</v>
      </c>
      <c r="Y173" s="131">
        <f>IF(NFI_Expiration=1,IF($A173&lt;VLOOKUP(N$5,NFI,5,0),1,0)*Data_NFI_t[[#This Row],[Blanket]],0)</f>
        <v>0</v>
      </c>
      <c r="Z173" s="131">
        <f>IF(NFI_Expiration=1,IF($A173&lt;VLOOKUP(O$5,NFI,5,0),1,0)*Data_NFI_t[[#This Row],[Kitchen Set]],0)</f>
        <v>0</v>
      </c>
      <c r="AA173" s="131">
        <f>IF(NFI_Expiration=1,IF($A173&lt;VLOOKUP(P$5,NFI,5,0),1,0)*Data_NFI_t[[#This Row],[Complementary Kit]],0)</f>
        <v>0</v>
      </c>
      <c r="AB173" s="131">
        <f>IF(NFI_Expiration=1,IF($A173&lt;VLOOKUP(Q$5,NFI,5,0),1,0)*Data_NFI_t[[#This Row],[Plastic Bucket]],0)</f>
        <v>0</v>
      </c>
      <c r="AC173" s="131">
        <f>IF(NFI_Expiration=1,IF($A173&lt;VLOOKUP(R$5,NFI,5,0),1,0)*Data_NFI_t[[#This Row],[Jerry Can]],0)</f>
        <v>0</v>
      </c>
      <c r="AD173" s="150">
        <f>IF(NFI_Expiration=1,IF($A173&lt;VLOOKUP(S$5,NFI,5,0),1,0)*Data_NFI_t[[#This Row],[Plastic Mat]],0)*IF(Data_NFI_t[[#This Row],[Distribution Date]]&gt;"01-04-2014",1,2.5)</f>
        <v>0</v>
      </c>
      <c r="AE173" s="150" t="str">
        <f ca="1">IFERROR(OFFSET(Camp_List[P_Code],MATCH(Data_NFI_t[[#This Row],[Camp Name]],Camp_List[Camp Name],0)-1,0,1,1),"")</f>
        <v>MMR012CMP017</v>
      </c>
      <c r="AF173" s="714" t="str">
        <f ca="1">IFERROR(OFFSET(Camp_List[Status],MATCH(Data_NFI_t[[#This Row],[Camp Name]],Camp_List[Camp Name],0)-1,0,1,1),"")</f>
        <v>Open</v>
      </c>
    </row>
    <row r="174" spans="1:32" s="102" customFormat="1" ht="15" customHeight="1" x14ac:dyDescent="0.25">
      <c r="A174" s="265">
        <f t="shared" si="2"/>
        <v>32.1</v>
      </c>
      <c r="B174" s="265">
        <f>YEAR(Data_NFI_t[[#This Row],[Distribution Date]])</f>
        <v>2013</v>
      </c>
      <c r="C174" s="738">
        <v>41376</v>
      </c>
      <c r="D174" s="655" t="s">
        <v>288</v>
      </c>
      <c r="E174" s="654"/>
      <c r="F174" s="655" t="s">
        <v>7</v>
      </c>
      <c r="G174" s="31" t="s">
        <v>19</v>
      </c>
      <c r="H174" s="31" t="s">
        <v>73</v>
      </c>
      <c r="I174" s="31"/>
      <c r="J174" s="61"/>
      <c r="K174" s="61"/>
      <c r="L174" s="61"/>
      <c r="M174" s="61"/>
      <c r="N174" s="61">
        <v>54</v>
      </c>
      <c r="O174" s="61"/>
      <c r="P174" s="61"/>
      <c r="Q174" s="61"/>
      <c r="R174" s="708"/>
      <c r="S174" s="61"/>
      <c r="T174" s="150">
        <f>IF(NFI_Expiration=1,IF($A174&lt;VLOOKUP(I$5,NFI,5,0),1,0)*Data_NFI_t[[#This Row],[Hygiene Kit]],0)</f>
        <v>0</v>
      </c>
      <c r="U174" s="150">
        <f>IF(NFI_Expiration=1,IF($A174&lt;VLOOKUP(J$5,NFI,5,0),1,0)*Data_NFI_t[[#This Row],[NFI Core Kit]],0)</f>
        <v>0</v>
      </c>
      <c r="V174" s="131">
        <f>IF(NFI_Expiration=1,IF($A174&lt;VLOOKUP(K$5,NFI,5,0),1,0)*Data_NFI_t[[#This Row],[Sanitary Kit]],0)</f>
        <v>0</v>
      </c>
      <c r="W174" s="131">
        <f>IF(NFI_Expiration=1,IF($A174&lt;VLOOKUP(L$5,NFI,5,0),1,0)*Data_NFI_t[[#This Row],[Mosquito net]],0)</f>
        <v>0</v>
      </c>
      <c r="X174" s="131">
        <f>IF(NFI_Expiration=1,IF($A174&lt;VLOOKUP(M$5,NFI,5,0),1,0)*Data_NFI_t[[#This Row],[Tarpaulin]],0)</f>
        <v>0</v>
      </c>
      <c r="Y174" s="131">
        <f>IF(NFI_Expiration=1,IF($A174&lt;VLOOKUP(N$5,NFI,5,0),1,0)*Data_NFI_t[[#This Row],[Blanket]],0)</f>
        <v>0</v>
      </c>
      <c r="Z174" s="131">
        <f>IF(NFI_Expiration=1,IF($A174&lt;VLOOKUP(O$5,NFI,5,0),1,0)*Data_NFI_t[[#This Row],[Kitchen Set]],0)</f>
        <v>0</v>
      </c>
      <c r="AA174" s="131">
        <f>IF(NFI_Expiration=1,IF($A174&lt;VLOOKUP(P$5,NFI,5,0),1,0)*Data_NFI_t[[#This Row],[Complementary Kit]],0)</f>
        <v>0</v>
      </c>
      <c r="AB174" s="131">
        <f>IF(NFI_Expiration=1,IF($A174&lt;VLOOKUP(Q$5,NFI,5,0),1,0)*Data_NFI_t[[#This Row],[Plastic Bucket]],0)</f>
        <v>0</v>
      </c>
      <c r="AC174" s="131">
        <f>IF(NFI_Expiration=1,IF($A174&lt;VLOOKUP(R$5,NFI,5,0),1,0)*Data_NFI_t[[#This Row],[Jerry Can]],0)</f>
        <v>0</v>
      </c>
      <c r="AD174" s="150">
        <f>IF(NFI_Expiration=1,IF($A174&lt;VLOOKUP(S$5,NFI,5,0),1,0)*Data_NFI_t[[#This Row],[Plastic Mat]],0)*IF(Data_NFI_t[[#This Row],[Distribution Date]]&gt;"01-04-2014",1,2.5)</f>
        <v>0</v>
      </c>
      <c r="AE174" s="150" t="str">
        <f ca="1">IFERROR(OFFSET(Camp_List[P_Code],MATCH(Data_NFI_t[[#This Row],[Camp Name]],Camp_List[Camp Name],0)-1,0,1,1),"")</f>
        <v>MMR012CMP051</v>
      </c>
      <c r="AF174" s="714" t="str">
        <f ca="1">IFERROR(OFFSET(Camp_List[Status],MATCH(Data_NFI_t[[#This Row],[Camp Name]],Camp_List[Camp Name],0)-1,0,1,1),"")</f>
        <v>Close</v>
      </c>
    </row>
    <row r="175" spans="1:32" s="102" customFormat="1" ht="15" customHeight="1" x14ac:dyDescent="0.25">
      <c r="A175" s="265">
        <f t="shared" si="2"/>
        <v>32.166666666666664</v>
      </c>
      <c r="B175" s="265">
        <f>YEAR(Data_NFI_t[[#This Row],[Distribution Date]])</f>
        <v>2013</v>
      </c>
      <c r="C175" s="738">
        <v>41374</v>
      </c>
      <c r="D175" s="655" t="s">
        <v>288</v>
      </c>
      <c r="E175" s="654"/>
      <c r="F175" s="655" t="s">
        <v>7</v>
      </c>
      <c r="G175" s="31" t="s">
        <v>19</v>
      </c>
      <c r="H175" s="31" t="s">
        <v>73</v>
      </c>
      <c r="I175" s="31"/>
      <c r="J175" s="61"/>
      <c r="K175" s="61"/>
      <c r="L175" s="61"/>
      <c r="M175" s="61"/>
      <c r="N175" s="61">
        <v>90</v>
      </c>
      <c r="O175" s="61"/>
      <c r="P175" s="61"/>
      <c r="Q175" s="61"/>
      <c r="R175" s="708"/>
      <c r="S175" s="61"/>
      <c r="T175" s="150">
        <f>IF(NFI_Expiration=1,IF($A175&lt;VLOOKUP(I$5,NFI,5,0),1,0)*Data_NFI_t[[#This Row],[Hygiene Kit]],0)</f>
        <v>0</v>
      </c>
      <c r="U175" s="150">
        <f>IF(NFI_Expiration=1,IF($A175&lt;VLOOKUP(J$5,NFI,5,0),1,0)*Data_NFI_t[[#This Row],[NFI Core Kit]],0)</f>
        <v>0</v>
      </c>
      <c r="V175" s="131">
        <f>IF(NFI_Expiration=1,IF($A175&lt;VLOOKUP(K$5,NFI,5,0),1,0)*Data_NFI_t[[#This Row],[Sanitary Kit]],0)</f>
        <v>0</v>
      </c>
      <c r="W175" s="131">
        <f>IF(NFI_Expiration=1,IF($A175&lt;VLOOKUP(L$5,NFI,5,0),1,0)*Data_NFI_t[[#This Row],[Mosquito net]],0)</f>
        <v>0</v>
      </c>
      <c r="X175" s="131">
        <f>IF(NFI_Expiration=1,IF($A175&lt;VLOOKUP(M$5,NFI,5,0),1,0)*Data_NFI_t[[#This Row],[Tarpaulin]],0)</f>
        <v>0</v>
      </c>
      <c r="Y175" s="131">
        <f>IF(NFI_Expiration=1,IF($A175&lt;VLOOKUP(N$5,NFI,5,0),1,0)*Data_NFI_t[[#This Row],[Blanket]],0)</f>
        <v>0</v>
      </c>
      <c r="Z175" s="131">
        <f>IF(NFI_Expiration=1,IF($A175&lt;VLOOKUP(O$5,NFI,5,0),1,0)*Data_NFI_t[[#This Row],[Kitchen Set]],0)</f>
        <v>0</v>
      </c>
      <c r="AA175" s="131">
        <f>IF(NFI_Expiration=1,IF($A175&lt;VLOOKUP(P$5,NFI,5,0),1,0)*Data_NFI_t[[#This Row],[Complementary Kit]],0)</f>
        <v>0</v>
      </c>
      <c r="AB175" s="131">
        <f>IF(NFI_Expiration=1,IF($A175&lt;VLOOKUP(Q$5,NFI,5,0),1,0)*Data_NFI_t[[#This Row],[Plastic Bucket]],0)</f>
        <v>0</v>
      </c>
      <c r="AC175" s="131">
        <f>IF(NFI_Expiration=1,IF($A175&lt;VLOOKUP(R$5,NFI,5,0),1,0)*Data_NFI_t[[#This Row],[Jerry Can]],0)</f>
        <v>0</v>
      </c>
      <c r="AD175" s="150">
        <f>IF(NFI_Expiration=1,IF($A175&lt;VLOOKUP(S$5,NFI,5,0),1,0)*Data_NFI_t[[#This Row],[Plastic Mat]],0)*IF(Data_NFI_t[[#This Row],[Distribution Date]]&gt;"01-04-2014",1,2.5)</f>
        <v>0</v>
      </c>
      <c r="AE175" s="150" t="str">
        <f ca="1">IFERROR(OFFSET(Camp_List[P_Code],MATCH(Data_NFI_t[[#This Row],[Camp Name]],Camp_List[Camp Name],0)-1,0,1,1),"")</f>
        <v>MMR012CMP051</v>
      </c>
      <c r="AF175" s="714" t="str">
        <f ca="1">IFERROR(OFFSET(Camp_List[Status],MATCH(Data_NFI_t[[#This Row],[Camp Name]],Camp_List[Camp Name],0)-1,0,1,1),"")</f>
        <v>Close</v>
      </c>
    </row>
    <row r="176" spans="1:32" s="102" customFormat="1" ht="15" customHeight="1" x14ac:dyDescent="0.25">
      <c r="A176" s="265">
        <f t="shared" si="2"/>
        <v>32.200000000000003</v>
      </c>
      <c r="B176" s="265">
        <f>YEAR(Data_NFI_t[[#This Row],[Distribution Date]])</f>
        <v>2013</v>
      </c>
      <c r="C176" s="738">
        <v>41373</v>
      </c>
      <c r="D176" s="655" t="s">
        <v>288</v>
      </c>
      <c r="E176" s="654"/>
      <c r="F176" s="655" t="s">
        <v>7</v>
      </c>
      <c r="G176" s="31" t="s">
        <v>19</v>
      </c>
      <c r="H176" s="31" t="s">
        <v>73</v>
      </c>
      <c r="I176" s="31"/>
      <c r="J176" s="61"/>
      <c r="K176" s="61"/>
      <c r="L176" s="61"/>
      <c r="M176" s="61"/>
      <c r="N176" s="61">
        <v>90</v>
      </c>
      <c r="O176" s="61"/>
      <c r="P176" s="61"/>
      <c r="Q176" s="61"/>
      <c r="R176" s="708"/>
      <c r="S176" s="61"/>
      <c r="T176" s="150">
        <f>IF(NFI_Expiration=1,IF($A176&lt;VLOOKUP(I$5,NFI,5,0),1,0)*Data_NFI_t[[#This Row],[Hygiene Kit]],0)</f>
        <v>0</v>
      </c>
      <c r="U176" s="150">
        <f>IF(NFI_Expiration=1,IF($A176&lt;VLOOKUP(J$5,NFI,5,0),1,0)*Data_NFI_t[[#This Row],[NFI Core Kit]],0)</f>
        <v>0</v>
      </c>
      <c r="V176" s="131">
        <f>IF(NFI_Expiration=1,IF($A176&lt;VLOOKUP(K$5,NFI,5,0),1,0)*Data_NFI_t[[#This Row],[Sanitary Kit]],0)</f>
        <v>0</v>
      </c>
      <c r="W176" s="131">
        <f>IF(NFI_Expiration=1,IF($A176&lt;VLOOKUP(L$5,NFI,5,0),1,0)*Data_NFI_t[[#This Row],[Mosquito net]],0)</f>
        <v>0</v>
      </c>
      <c r="X176" s="131">
        <f>IF(NFI_Expiration=1,IF($A176&lt;VLOOKUP(M$5,NFI,5,0),1,0)*Data_NFI_t[[#This Row],[Tarpaulin]],0)</f>
        <v>0</v>
      </c>
      <c r="Y176" s="131">
        <f>IF(NFI_Expiration=1,IF($A176&lt;VLOOKUP(N$5,NFI,5,0),1,0)*Data_NFI_t[[#This Row],[Blanket]],0)</f>
        <v>0</v>
      </c>
      <c r="Z176" s="131">
        <f>IF(NFI_Expiration=1,IF($A176&lt;VLOOKUP(O$5,NFI,5,0),1,0)*Data_NFI_t[[#This Row],[Kitchen Set]],0)</f>
        <v>0</v>
      </c>
      <c r="AA176" s="131">
        <f>IF(NFI_Expiration=1,IF($A176&lt;VLOOKUP(P$5,NFI,5,0),1,0)*Data_NFI_t[[#This Row],[Complementary Kit]],0)</f>
        <v>0</v>
      </c>
      <c r="AB176" s="131">
        <f>IF(NFI_Expiration=1,IF($A176&lt;VLOOKUP(Q$5,NFI,5,0),1,0)*Data_NFI_t[[#This Row],[Plastic Bucket]],0)</f>
        <v>0</v>
      </c>
      <c r="AC176" s="131">
        <f>IF(NFI_Expiration=1,IF($A176&lt;VLOOKUP(R$5,NFI,5,0),1,0)*Data_NFI_t[[#This Row],[Jerry Can]],0)</f>
        <v>0</v>
      </c>
      <c r="AD176" s="150">
        <f>IF(NFI_Expiration=1,IF($A176&lt;VLOOKUP(S$5,NFI,5,0),1,0)*Data_NFI_t[[#This Row],[Plastic Mat]],0)*IF(Data_NFI_t[[#This Row],[Distribution Date]]&gt;"01-04-2014",1,2.5)</f>
        <v>0</v>
      </c>
      <c r="AE176" s="150" t="str">
        <f ca="1">IFERROR(OFFSET(Camp_List[P_Code],MATCH(Data_NFI_t[[#This Row],[Camp Name]],Camp_List[Camp Name],0)-1,0,1,1),"")</f>
        <v>MMR012CMP051</v>
      </c>
      <c r="AF176" s="714" t="str">
        <f ca="1">IFERROR(OFFSET(Camp_List[Status],MATCH(Data_NFI_t[[#This Row],[Camp Name]],Camp_List[Camp Name],0)-1,0,1,1),"")</f>
        <v>Close</v>
      </c>
    </row>
    <row r="177" spans="1:32" s="102" customFormat="1" ht="15" customHeight="1" x14ac:dyDescent="0.25">
      <c r="A177" s="265">
        <f t="shared" si="2"/>
        <v>32.200000000000003</v>
      </c>
      <c r="B177" s="265">
        <f>YEAR(Data_NFI_t[[#This Row],[Distribution Date]])</f>
        <v>2013</v>
      </c>
      <c r="C177" s="738">
        <v>41373</v>
      </c>
      <c r="D177" s="655" t="s">
        <v>529</v>
      </c>
      <c r="E177" s="654" t="s">
        <v>295</v>
      </c>
      <c r="F177" s="655" t="s">
        <v>7</v>
      </c>
      <c r="G177" s="31" t="s">
        <v>19</v>
      </c>
      <c r="H177" s="31" t="s">
        <v>63</v>
      </c>
      <c r="I177" s="31">
        <v>186</v>
      </c>
      <c r="J177" s="61"/>
      <c r="K177" s="61"/>
      <c r="L177" s="61"/>
      <c r="M177" s="61"/>
      <c r="N177" s="61"/>
      <c r="O177" s="61"/>
      <c r="P177" s="61"/>
      <c r="Q177" s="61"/>
      <c r="R177" s="708"/>
      <c r="S177" s="61"/>
      <c r="T177" s="150">
        <f>IF(NFI_Expiration=1,IF($A177&lt;VLOOKUP(I$5,NFI,5,0),1,0)*Data_NFI_t[[#This Row],[Hygiene Kit]],0)</f>
        <v>0</v>
      </c>
      <c r="U177" s="150">
        <f>IF(NFI_Expiration=1,IF($A177&lt;VLOOKUP(J$5,NFI,5,0),1,0)*Data_NFI_t[[#This Row],[NFI Core Kit]],0)</f>
        <v>0</v>
      </c>
      <c r="V177" s="131">
        <f>IF(NFI_Expiration=1,IF($A177&lt;VLOOKUP(K$5,NFI,5,0),1,0)*Data_NFI_t[[#This Row],[Sanitary Kit]],0)</f>
        <v>0</v>
      </c>
      <c r="W177" s="131">
        <f>IF(NFI_Expiration=1,IF($A177&lt;VLOOKUP(L$5,NFI,5,0),1,0)*Data_NFI_t[[#This Row],[Mosquito net]],0)</f>
        <v>0</v>
      </c>
      <c r="X177" s="131">
        <f>IF(NFI_Expiration=1,IF($A177&lt;VLOOKUP(M$5,NFI,5,0),1,0)*Data_NFI_t[[#This Row],[Tarpaulin]],0)</f>
        <v>0</v>
      </c>
      <c r="Y177" s="131">
        <f>IF(NFI_Expiration=1,IF($A177&lt;VLOOKUP(N$5,NFI,5,0),1,0)*Data_NFI_t[[#This Row],[Blanket]],0)</f>
        <v>0</v>
      </c>
      <c r="Z177" s="131">
        <f>IF(NFI_Expiration=1,IF($A177&lt;VLOOKUP(O$5,NFI,5,0),1,0)*Data_NFI_t[[#This Row],[Kitchen Set]],0)</f>
        <v>0</v>
      </c>
      <c r="AA177" s="131">
        <f>IF(NFI_Expiration=1,IF($A177&lt;VLOOKUP(P$5,NFI,5,0),1,0)*Data_NFI_t[[#This Row],[Complementary Kit]],0)</f>
        <v>0</v>
      </c>
      <c r="AB177" s="131">
        <f>IF(NFI_Expiration=1,IF($A177&lt;VLOOKUP(Q$5,NFI,5,0),1,0)*Data_NFI_t[[#This Row],[Plastic Bucket]],0)</f>
        <v>0</v>
      </c>
      <c r="AC177" s="131">
        <f>IF(NFI_Expiration=1,IF($A177&lt;VLOOKUP(R$5,NFI,5,0),1,0)*Data_NFI_t[[#This Row],[Jerry Can]],0)</f>
        <v>0</v>
      </c>
      <c r="AD177" s="150">
        <f>IF(NFI_Expiration=1,IF($A177&lt;VLOOKUP(S$5,NFI,5,0),1,0)*Data_NFI_t[[#This Row],[Plastic Mat]],0)*IF(Data_NFI_t[[#This Row],[Distribution Date]]&gt;"01-04-2014",1,2.5)</f>
        <v>0</v>
      </c>
      <c r="AE177" s="150" t="str">
        <f ca="1">IFERROR(OFFSET(Camp_List[P_Code],MATCH(Data_NFI_t[[#This Row],[Camp Name]],Camp_List[Camp Name],0)-1,0,1,1),"")</f>
        <v>MMR012CMP041</v>
      </c>
      <c r="AF177" s="714" t="str">
        <f ca="1">IFERROR(OFFSET(Camp_List[Status],MATCH(Data_NFI_t[[#This Row],[Camp Name]],Camp_List[Camp Name],0)-1,0,1,1),"")</f>
        <v>Open</v>
      </c>
    </row>
    <row r="178" spans="1:32" s="102" customFormat="1" ht="15" customHeight="1" x14ac:dyDescent="0.25">
      <c r="A178" s="265">
        <f t="shared" si="2"/>
        <v>32.333333333333336</v>
      </c>
      <c r="B178" s="265">
        <f>YEAR(Data_NFI_t[[#This Row],[Distribution Date]])</f>
        <v>2013</v>
      </c>
      <c r="C178" s="738">
        <v>41369</v>
      </c>
      <c r="D178" s="655" t="s">
        <v>288</v>
      </c>
      <c r="E178" s="654"/>
      <c r="F178" s="655" t="s">
        <v>7</v>
      </c>
      <c r="G178" s="31" t="s">
        <v>19</v>
      </c>
      <c r="H178" s="31" t="s">
        <v>73</v>
      </c>
      <c r="I178" s="31"/>
      <c r="J178" s="61"/>
      <c r="K178" s="61"/>
      <c r="L178" s="61"/>
      <c r="M178" s="61"/>
      <c r="N178" s="61">
        <v>90</v>
      </c>
      <c r="O178" s="61"/>
      <c r="P178" s="61"/>
      <c r="Q178" s="61"/>
      <c r="R178" s="708"/>
      <c r="S178" s="61"/>
      <c r="T178" s="150">
        <f>IF(NFI_Expiration=1,IF($A178&lt;VLOOKUP(I$5,NFI,5,0),1,0)*Data_NFI_t[[#This Row],[Hygiene Kit]],0)</f>
        <v>0</v>
      </c>
      <c r="U178" s="150">
        <f>IF(NFI_Expiration=1,IF($A178&lt;VLOOKUP(J$5,NFI,5,0),1,0)*Data_NFI_t[[#This Row],[NFI Core Kit]],0)</f>
        <v>0</v>
      </c>
      <c r="V178" s="131">
        <f>IF(NFI_Expiration=1,IF($A178&lt;VLOOKUP(K$5,NFI,5,0),1,0)*Data_NFI_t[[#This Row],[Sanitary Kit]],0)</f>
        <v>0</v>
      </c>
      <c r="W178" s="131">
        <f>IF(NFI_Expiration=1,IF($A178&lt;VLOOKUP(L$5,NFI,5,0),1,0)*Data_NFI_t[[#This Row],[Mosquito net]],0)</f>
        <v>0</v>
      </c>
      <c r="X178" s="131">
        <f>IF(NFI_Expiration=1,IF($A178&lt;VLOOKUP(M$5,NFI,5,0),1,0)*Data_NFI_t[[#This Row],[Tarpaulin]],0)</f>
        <v>0</v>
      </c>
      <c r="Y178" s="131">
        <f>IF(NFI_Expiration=1,IF($A178&lt;VLOOKUP(N$5,NFI,5,0),1,0)*Data_NFI_t[[#This Row],[Blanket]],0)</f>
        <v>0</v>
      </c>
      <c r="Z178" s="131">
        <f>IF(NFI_Expiration=1,IF($A178&lt;VLOOKUP(O$5,NFI,5,0),1,0)*Data_NFI_t[[#This Row],[Kitchen Set]],0)</f>
        <v>0</v>
      </c>
      <c r="AA178" s="131">
        <f>IF(NFI_Expiration=1,IF($A178&lt;VLOOKUP(P$5,NFI,5,0),1,0)*Data_NFI_t[[#This Row],[Complementary Kit]],0)</f>
        <v>0</v>
      </c>
      <c r="AB178" s="131">
        <f>IF(NFI_Expiration=1,IF($A178&lt;VLOOKUP(Q$5,NFI,5,0),1,0)*Data_NFI_t[[#This Row],[Plastic Bucket]],0)</f>
        <v>0</v>
      </c>
      <c r="AC178" s="131">
        <f>IF(NFI_Expiration=1,IF($A178&lt;VLOOKUP(R$5,NFI,5,0),1,0)*Data_NFI_t[[#This Row],[Jerry Can]],0)</f>
        <v>0</v>
      </c>
      <c r="AD178" s="150">
        <f>IF(NFI_Expiration=1,IF($A178&lt;VLOOKUP(S$5,NFI,5,0),1,0)*Data_NFI_t[[#This Row],[Plastic Mat]],0)*IF(Data_NFI_t[[#This Row],[Distribution Date]]&gt;"01-04-2014",1,2.5)</f>
        <v>0</v>
      </c>
      <c r="AE178" s="150" t="str">
        <f ca="1">IFERROR(OFFSET(Camp_List[P_Code],MATCH(Data_NFI_t[[#This Row],[Camp Name]],Camp_List[Camp Name],0)-1,0,1,1),"")</f>
        <v>MMR012CMP051</v>
      </c>
      <c r="AF178" s="714" t="str">
        <f ca="1">IFERROR(OFFSET(Camp_List[Status],MATCH(Data_NFI_t[[#This Row],[Camp Name]],Camp_List[Camp Name],0)-1,0,1,1),"")</f>
        <v>Close</v>
      </c>
    </row>
    <row r="179" spans="1:32" s="102" customFormat="1" ht="15" customHeight="1" x14ac:dyDescent="0.25">
      <c r="A179" s="265">
        <f t="shared" si="2"/>
        <v>32.366666666666667</v>
      </c>
      <c r="B179" s="265">
        <f>YEAR(Data_NFI_t[[#This Row],[Distribution Date]])</f>
        <v>2013</v>
      </c>
      <c r="C179" s="738">
        <v>41368</v>
      </c>
      <c r="D179" s="655" t="s">
        <v>288</v>
      </c>
      <c r="E179" s="654"/>
      <c r="F179" s="655" t="s">
        <v>7</v>
      </c>
      <c r="G179" s="31" t="s">
        <v>19</v>
      </c>
      <c r="H179" s="31" t="s">
        <v>73</v>
      </c>
      <c r="I179" s="31"/>
      <c r="J179" s="61"/>
      <c r="K179" s="61"/>
      <c r="L179" s="61"/>
      <c r="M179" s="61"/>
      <c r="N179" s="61">
        <v>45</v>
      </c>
      <c r="O179" s="61"/>
      <c r="P179" s="61"/>
      <c r="Q179" s="61"/>
      <c r="R179" s="708"/>
      <c r="S179" s="61"/>
      <c r="T179" s="150">
        <f>IF(NFI_Expiration=1,IF($A179&lt;VLOOKUP(I$5,NFI,5,0),1,0)*Data_NFI_t[[#This Row],[Hygiene Kit]],0)</f>
        <v>0</v>
      </c>
      <c r="U179" s="150">
        <f>IF(NFI_Expiration=1,IF($A179&lt;VLOOKUP(J$5,NFI,5,0),1,0)*Data_NFI_t[[#This Row],[NFI Core Kit]],0)</f>
        <v>0</v>
      </c>
      <c r="V179" s="131">
        <f>IF(NFI_Expiration=1,IF($A179&lt;VLOOKUP(K$5,NFI,5,0),1,0)*Data_NFI_t[[#This Row],[Sanitary Kit]],0)</f>
        <v>0</v>
      </c>
      <c r="W179" s="131">
        <f>IF(NFI_Expiration=1,IF($A179&lt;VLOOKUP(L$5,NFI,5,0),1,0)*Data_NFI_t[[#This Row],[Mosquito net]],0)</f>
        <v>0</v>
      </c>
      <c r="X179" s="131">
        <f>IF(NFI_Expiration=1,IF($A179&lt;VLOOKUP(M$5,NFI,5,0),1,0)*Data_NFI_t[[#This Row],[Tarpaulin]],0)</f>
        <v>0</v>
      </c>
      <c r="Y179" s="131">
        <f>IF(NFI_Expiration=1,IF($A179&lt;VLOOKUP(N$5,NFI,5,0),1,0)*Data_NFI_t[[#This Row],[Blanket]],0)</f>
        <v>0</v>
      </c>
      <c r="Z179" s="131">
        <f>IF(NFI_Expiration=1,IF($A179&lt;VLOOKUP(O$5,NFI,5,0),1,0)*Data_NFI_t[[#This Row],[Kitchen Set]],0)</f>
        <v>0</v>
      </c>
      <c r="AA179" s="131">
        <f>IF(NFI_Expiration=1,IF($A179&lt;VLOOKUP(P$5,NFI,5,0),1,0)*Data_NFI_t[[#This Row],[Complementary Kit]],0)</f>
        <v>0</v>
      </c>
      <c r="AB179" s="131">
        <f>IF(NFI_Expiration=1,IF($A179&lt;VLOOKUP(Q$5,NFI,5,0),1,0)*Data_NFI_t[[#This Row],[Plastic Bucket]],0)</f>
        <v>0</v>
      </c>
      <c r="AC179" s="131">
        <f>IF(NFI_Expiration=1,IF($A179&lt;VLOOKUP(R$5,NFI,5,0),1,0)*Data_NFI_t[[#This Row],[Jerry Can]],0)</f>
        <v>0</v>
      </c>
      <c r="AD179" s="150">
        <f>IF(NFI_Expiration=1,IF($A179&lt;VLOOKUP(S$5,NFI,5,0),1,0)*Data_NFI_t[[#This Row],[Plastic Mat]],0)*IF(Data_NFI_t[[#This Row],[Distribution Date]]&gt;"01-04-2014",1,2.5)</f>
        <v>0</v>
      </c>
      <c r="AE179" s="150" t="str">
        <f ca="1">IFERROR(OFFSET(Camp_List[P_Code],MATCH(Data_NFI_t[[#This Row],[Camp Name]],Camp_List[Camp Name],0)-1,0,1,1),"")</f>
        <v>MMR012CMP051</v>
      </c>
      <c r="AF179" s="714" t="str">
        <f ca="1">IFERROR(OFFSET(Camp_List[Status],MATCH(Data_NFI_t[[#This Row],[Camp Name]],Camp_List[Camp Name],0)-1,0,1,1),"")</f>
        <v>Close</v>
      </c>
    </row>
    <row r="180" spans="1:32" s="102" customFormat="1" ht="15" customHeight="1" x14ac:dyDescent="0.25">
      <c r="A180" s="265">
        <f t="shared" si="2"/>
        <v>32.4</v>
      </c>
      <c r="B180" s="265">
        <f>YEAR(Data_NFI_t[[#This Row],[Distribution Date]])</f>
        <v>2013</v>
      </c>
      <c r="C180" s="738">
        <v>41367</v>
      </c>
      <c r="D180" s="655" t="s">
        <v>288</v>
      </c>
      <c r="E180" s="654"/>
      <c r="F180" s="655" t="s">
        <v>7</v>
      </c>
      <c r="G180" s="31" t="s">
        <v>19</v>
      </c>
      <c r="H180" s="31" t="s">
        <v>73</v>
      </c>
      <c r="I180" s="31"/>
      <c r="J180" s="61"/>
      <c r="K180" s="61"/>
      <c r="L180" s="61"/>
      <c r="M180" s="61"/>
      <c r="N180" s="61">
        <v>45</v>
      </c>
      <c r="O180" s="61"/>
      <c r="P180" s="61"/>
      <c r="Q180" s="61"/>
      <c r="R180" s="708"/>
      <c r="S180" s="61"/>
      <c r="T180" s="150">
        <f>IF(NFI_Expiration=1,IF($A180&lt;VLOOKUP(I$5,NFI,5,0),1,0)*Data_NFI_t[[#This Row],[Hygiene Kit]],0)</f>
        <v>0</v>
      </c>
      <c r="U180" s="150">
        <f>IF(NFI_Expiration=1,IF($A180&lt;VLOOKUP(J$5,NFI,5,0),1,0)*Data_NFI_t[[#This Row],[NFI Core Kit]],0)</f>
        <v>0</v>
      </c>
      <c r="V180" s="131">
        <f>IF(NFI_Expiration=1,IF($A180&lt;VLOOKUP(K$5,NFI,5,0),1,0)*Data_NFI_t[[#This Row],[Sanitary Kit]],0)</f>
        <v>0</v>
      </c>
      <c r="W180" s="131">
        <f>IF(NFI_Expiration=1,IF($A180&lt;VLOOKUP(L$5,NFI,5,0),1,0)*Data_NFI_t[[#This Row],[Mosquito net]],0)</f>
        <v>0</v>
      </c>
      <c r="X180" s="131">
        <f>IF(NFI_Expiration=1,IF($A180&lt;VLOOKUP(M$5,NFI,5,0),1,0)*Data_NFI_t[[#This Row],[Tarpaulin]],0)</f>
        <v>0</v>
      </c>
      <c r="Y180" s="131">
        <f>IF(NFI_Expiration=1,IF($A180&lt;VLOOKUP(N$5,NFI,5,0),1,0)*Data_NFI_t[[#This Row],[Blanket]],0)</f>
        <v>0</v>
      </c>
      <c r="Z180" s="131">
        <f>IF(NFI_Expiration=1,IF($A180&lt;VLOOKUP(O$5,NFI,5,0),1,0)*Data_NFI_t[[#This Row],[Kitchen Set]],0)</f>
        <v>0</v>
      </c>
      <c r="AA180" s="131">
        <f>IF(NFI_Expiration=1,IF($A180&lt;VLOOKUP(P$5,NFI,5,0),1,0)*Data_NFI_t[[#This Row],[Complementary Kit]],0)</f>
        <v>0</v>
      </c>
      <c r="AB180" s="131">
        <f>IF(NFI_Expiration=1,IF($A180&lt;VLOOKUP(Q$5,NFI,5,0),1,0)*Data_NFI_t[[#This Row],[Plastic Bucket]],0)</f>
        <v>0</v>
      </c>
      <c r="AC180" s="131">
        <f>IF(NFI_Expiration=1,IF($A180&lt;VLOOKUP(R$5,NFI,5,0),1,0)*Data_NFI_t[[#This Row],[Jerry Can]],0)</f>
        <v>0</v>
      </c>
      <c r="AD180" s="150">
        <f>IF(NFI_Expiration=1,IF($A180&lt;VLOOKUP(S$5,NFI,5,0),1,0)*Data_NFI_t[[#This Row],[Plastic Mat]],0)*IF(Data_NFI_t[[#This Row],[Distribution Date]]&gt;"01-04-2014",1,2.5)</f>
        <v>0</v>
      </c>
      <c r="AE180" s="150" t="str">
        <f ca="1">IFERROR(OFFSET(Camp_List[P_Code],MATCH(Data_NFI_t[[#This Row],[Camp Name]],Camp_List[Camp Name],0)-1,0,1,1),"")</f>
        <v>MMR012CMP051</v>
      </c>
      <c r="AF180" s="714" t="str">
        <f ca="1">IFERROR(OFFSET(Camp_List[Status],MATCH(Data_NFI_t[[#This Row],[Camp Name]],Camp_List[Camp Name],0)-1,0,1,1),"")</f>
        <v>Close</v>
      </c>
    </row>
    <row r="181" spans="1:32" s="102" customFormat="1" ht="15" customHeight="1" x14ac:dyDescent="0.25">
      <c r="A181" s="265">
        <f t="shared" si="2"/>
        <v>32.43333333333333</v>
      </c>
      <c r="B181" s="265">
        <f>YEAR(Data_NFI_t[[#This Row],[Distribution Date]])</f>
        <v>2013</v>
      </c>
      <c r="C181" s="738">
        <v>41366</v>
      </c>
      <c r="D181" s="655" t="s">
        <v>526</v>
      </c>
      <c r="E181" s="654" t="s">
        <v>526</v>
      </c>
      <c r="F181" s="655" t="s">
        <v>7</v>
      </c>
      <c r="G181" s="31" t="s">
        <v>19</v>
      </c>
      <c r="H181" s="31" t="s">
        <v>70</v>
      </c>
      <c r="I181" s="31">
        <v>3100</v>
      </c>
      <c r="J181" s="61"/>
      <c r="K181" s="61"/>
      <c r="L181" s="61"/>
      <c r="M181" s="61"/>
      <c r="N181" s="61"/>
      <c r="O181" s="61"/>
      <c r="P181" s="61"/>
      <c r="Q181" s="61"/>
      <c r="R181" s="708"/>
      <c r="S181" s="61"/>
      <c r="T181" s="150">
        <f>IF(NFI_Expiration=1,IF($A181&lt;VLOOKUP(I$5,NFI,5,0),1,0)*Data_NFI_t[[#This Row],[Hygiene Kit]],0)</f>
        <v>0</v>
      </c>
      <c r="U181" s="150">
        <f>IF(NFI_Expiration=1,IF($A181&lt;VLOOKUP(J$5,NFI,5,0),1,0)*Data_NFI_t[[#This Row],[NFI Core Kit]],0)</f>
        <v>0</v>
      </c>
      <c r="V181" s="131">
        <f>IF(NFI_Expiration=1,IF($A181&lt;VLOOKUP(K$5,NFI,5,0),1,0)*Data_NFI_t[[#This Row],[Sanitary Kit]],0)</f>
        <v>0</v>
      </c>
      <c r="W181" s="131">
        <f>IF(NFI_Expiration=1,IF($A181&lt;VLOOKUP(L$5,NFI,5,0),1,0)*Data_NFI_t[[#This Row],[Mosquito net]],0)</f>
        <v>0</v>
      </c>
      <c r="X181" s="131">
        <f>IF(NFI_Expiration=1,IF($A181&lt;VLOOKUP(M$5,NFI,5,0),1,0)*Data_NFI_t[[#This Row],[Tarpaulin]],0)</f>
        <v>0</v>
      </c>
      <c r="Y181" s="131">
        <f>IF(NFI_Expiration=1,IF($A181&lt;VLOOKUP(N$5,NFI,5,0),1,0)*Data_NFI_t[[#This Row],[Blanket]],0)</f>
        <v>0</v>
      </c>
      <c r="Z181" s="131">
        <f>IF(NFI_Expiration=1,IF($A181&lt;VLOOKUP(O$5,NFI,5,0),1,0)*Data_NFI_t[[#This Row],[Kitchen Set]],0)</f>
        <v>0</v>
      </c>
      <c r="AA181" s="131">
        <f>IF(NFI_Expiration=1,IF($A181&lt;VLOOKUP(P$5,NFI,5,0),1,0)*Data_NFI_t[[#This Row],[Complementary Kit]],0)</f>
        <v>0</v>
      </c>
      <c r="AB181" s="131">
        <f>IF(NFI_Expiration=1,IF($A181&lt;VLOOKUP(Q$5,NFI,5,0),1,0)*Data_NFI_t[[#This Row],[Plastic Bucket]],0)</f>
        <v>0</v>
      </c>
      <c r="AC181" s="131">
        <f>IF(NFI_Expiration=1,IF($A181&lt;VLOOKUP(R$5,NFI,5,0),1,0)*Data_NFI_t[[#This Row],[Jerry Can]],0)</f>
        <v>0</v>
      </c>
      <c r="AD181" s="150">
        <f>IF(NFI_Expiration=1,IF($A181&lt;VLOOKUP(S$5,NFI,5,0),1,0)*Data_NFI_t[[#This Row],[Plastic Mat]],0)*IF(Data_NFI_t[[#This Row],[Distribution Date]]&gt;"01-04-2014",1,2.5)</f>
        <v>0</v>
      </c>
      <c r="AE181" s="150" t="str">
        <f ca="1">IFERROR(OFFSET(Camp_List[P_Code],MATCH(Data_NFI_t[[#This Row],[Camp Name]],Camp_List[Camp Name],0)-1,0,1,1),"")</f>
        <v>MMR012CMP048</v>
      </c>
      <c r="AF181" s="714" t="str">
        <f ca="1">IFERROR(OFFSET(Camp_List[Status],MATCH(Data_NFI_t[[#This Row],[Camp Name]],Camp_List[Camp Name],0)-1,0,1,1),"")</f>
        <v>Open</v>
      </c>
    </row>
    <row r="182" spans="1:32" s="102" customFormat="1" ht="15" customHeight="1" x14ac:dyDescent="0.25">
      <c r="A182" s="265">
        <f t="shared" si="2"/>
        <v>33.06666666666667</v>
      </c>
      <c r="B182" s="265">
        <f>YEAR(Data_NFI_t[[#This Row],[Distribution Date]])</f>
        <v>2013</v>
      </c>
      <c r="C182" s="738">
        <v>41347</v>
      </c>
      <c r="D182" s="655" t="s">
        <v>288</v>
      </c>
      <c r="E182" s="654"/>
      <c r="F182" s="655" t="s">
        <v>7</v>
      </c>
      <c r="G182" s="31" t="s">
        <v>16</v>
      </c>
      <c r="H182" s="31" t="s">
        <v>56</v>
      </c>
      <c r="I182" s="31">
        <v>0</v>
      </c>
      <c r="J182" s="61">
        <v>68</v>
      </c>
      <c r="K182" s="61"/>
      <c r="L182" s="61">
        <v>136</v>
      </c>
      <c r="M182" s="61">
        <v>68</v>
      </c>
      <c r="N182" s="61">
        <v>136</v>
      </c>
      <c r="O182" s="61">
        <v>68</v>
      </c>
      <c r="P182" s="61">
        <v>68</v>
      </c>
      <c r="Q182" s="61">
        <v>68</v>
      </c>
      <c r="R182" s="708"/>
      <c r="S182" s="61">
        <v>136</v>
      </c>
      <c r="T182" s="150">
        <f>IF(NFI_Expiration=1,IF($A182&lt;VLOOKUP(I$5,NFI,5,0),1,0)*Data_NFI_t[[#This Row],[Hygiene Kit]],0)</f>
        <v>0</v>
      </c>
      <c r="U182" s="150">
        <f>IF(NFI_Expiration=1,IF($A182&lt;VLOOKUP(J$5,NFI,5,0),1,0)*Data_NFI_t[[#This Row],[NFI Core Kit]],0)</f>
        <v>0</v>
      </c>
      <c r="V182" s="131">
        <f>IF(NFI_Expiration=1,IF($A182&lt;VLOOKUP(K$5,NFI,5,0),1,0)*Data_NFI_t[[#This Row],[Sanitary Kit]],0)</f>
        <v>0</v>
      </c>
      <c r="W182" s="131">
        <f>IF(NFI_Expiration=1,IF($A182&lt;VLOOKUP(L$5,NFI,5,0),1,0)*Data_NFI_t[[#This Row],[Mosquito net]],0)</f>
        <v>0</v>
      </c>
      <c r="X182" s="131">
        <f>IF(NFI_Expiration=1,IF($A182&lt;VLOOKUP(M$5,NFI,5,0),1,0)*Data_NFI_t[[#This Row],[Tarpaulin]],0)</f>
        <v>0</v>
      </c>
      <c r="Y182" s="131">
        <f>IF(NFI_Expiration=1,IF($A182&lt;VLOOKUP(N$5,NFI,5,0),1,0)*Data_NFI_t[[#This Row],[Blanket]],0)</f>
        <v>0</v>
      </c>
      <c r="Z182" s="131">
        <f>IF(NFI_Expiration=1,IF($A182&lt;VLOOKUP(O$5,NFI,5,0),1,0)*Data_NFI_t[[#This Row],[Kitchen Set]],0)</f>
        <v>0</v>
      </c>
      <c r="AA182" s="131">
        <f>IF(NFI_Expiration=1,IF($A182&lt;VLOOKUP(P$5,NFI,5,0),1,0)*Data_NFI_t[[#This Row],[Complementary Kit]],0)</f>
        <v>0</v>
      </c>
      <c r="AB182" s="131">
        <f>IF(NFI_Expiration=1,IF($A182&lt;VLOOKUP(Q$5,NFI,5,0),1,0)*Data_NFI_t[[#This Row],[Plastic Bucket]],0)</f>
        <v>0</v>
      </c>
      <c r="AC182" s="131">
        <f>IF(NFI_Expiration=1,IF($A182&lt;VLOOKUP(R$5,NFI,5,0),1,0)*Data_NFI_t[[#This Row],[Jerry Can]],0)</f>
        <v>0</v>
      </c>
      <c r="AD182" s="150">
        <f>IF(NFI_Expiration=1,IF($A182&lt;VLOOKUP(S$5,NFI,5,0),1,0)*Data_NFI_t[[#This Row],[Plastic Mat]],0)*IF(Data_NFI_t[[#This Row],[Distribution Date]]&gt;"01-04-2014",1,2.5)</f>
        <v>0</v>
      </c>
      <c r="AE182" s="150" t="str">
        <f ca="1">IFERROR(OFFSET(Camp_List[P_Code],MATCH(Data_NFI_t[[#This Row],[Camp Name]],Camp_List[Camp Name],0)-1,0,1,1),"")</f>
        <v>MMR012CMP032</v>
      </c>
      <c r="AF182" s="714" t="str">
        <f ca="1">IFERROR(OFFSET(Camp_List[Status],MATCH(Data_NFI_t[[#This Row],[Camp Name]],Camp_List[Camp Name],0)-1,0,1,1),"")</f>
        <v>Open</v>
      </c>
    </row>
    <row r="183" spans="1:32" s="102" customFormat="1" ht="15" customHeight="1" x14ac:dyDescent="0.25">
      <c r="A183" s="265">
        <f t="shared" si="2"/>
        <v>33.06666666666667</v>
      </c>
      <c r="B183" s="265">
        <f>YEAR(Data_NFI_t[[#This Row],[Distribution Date]])</f>
        <v>2013</v>
      </c>
      <c r="C183" s="738">
        <v>41347</v>
      </c>
      <c r="D183" s="655" t="s">
        <v>288</v>
      </c>
      <c r="E183" s="654"/>
      <c r="F183" s="655" t="s">
        <v>7</v>
      </c>
      <c r="G183" s="31" t="s">
        <v>16</v>
      </c>
      <c r="H183" s="31" t="s">
        <v>56</v>
      </c>
      <c r="I183" s="31">
        <v>0</v>
      </c>
      <c r="J183" s="61"/>
      <c r="K183" s="61">
        <v>136</v>
      </c>
      <c r="L183" s="61">
        <v>136</v>
      </c>
      <c r="M183" s="61">
        <v>68</v>
      </c>
      <c r="N183" s="61">
        <v>0</v>
      </c>
      <c r="O183" s="61"/>
      <c r="P183" s="61"/>
      <c r="Q183" s="61"/>
      <c r="R183" s="708"/>
      <c r="S183" s="61"/>
      <c r="T183" s="150">
        <f>IF(NFI_Expiration=1,IF($A183&lt;VLOOKUP(I$5,NFI,5,0),1,0)*Data_NFI_t[[#This Row],[Hygiene Kit]],0)</f>
        <v>0</v>
      </c>
      <c r="U183" s="150">
        <f>IF(NFI_Expiration=1,IF($A183&lt;VLOOKUP(J$5,NFI,5,0),1,0)*Data_NFI_t[[#This Row],[NFI Core Kit]],0)</f>
        <v>0</v>
      </c>
      <c r="V183" s="131">
        <f>IF(NFI_Expiration=1,IF($A183&lt;VLOOKUP(K$5,NFI,5,0),1,0)*Data_NFI_t[[#This Row],[Sanitary Kit]],0)</f>
        <v>0</v>
      </c>
      <c r="W183" s="131">
        <f>IF(NFI_Expiration=1,IF($A183&lt;VLOOKUP(L$5,NFI,5,0),1,0)*Data_NFI_t[[#This Row],[Mosquito net]],0)</f>
        <v>0</v>
      </c>
      <c r="X183" s="131">
        <f>IF(NFI_Expiration=1,IF($A183&lt;VLOOKUP(M$5,NFI,5,0),1,0)*Data_NFI_t[[#This Row],[Tarpaulin]],0)</f>
        <v>0</v>
      </c>
      <c r="Y183" s="131">
        <f>IF(NFI_Expiration=1,IF($A183&lt;VLOOKUP(N$5,NFI,5,0),1,0)*Data_NFI_t[[#This Row],[Blanket]],0)</f>
        <v>0</v>
      </c>
      <c r="Z183" s="131">
        <f>IF(NFI_Expiration=1,IF($A183&lt;VLOOKUP(O$5,NFI,5,0),1,0)*Data_NFI_t[[#This Row],[Kitchen Set]],0)</f>
        <v>0</v>
      </c>
      <c r="AA183" s="131">
        <f>IF(NFI_Expiration=1,IF($A183&lt;VLOOKUP(P$5,NFI,5,0),1,0)*Data_NFI_t[[#This Row],[Complementary Kit]],0)</f>
        <v>0</v>
      </c>
      <c r="AB183" s="131">
        <f>IF(NFI_Expiration=1,IF($A183&lt;VLOOKUP(Q$5,NFI,5,0),1,0)*Data_NFI_t[[#This Row],[Plastic Bucket]],0)</f>
        <v>0</v>
      </c>
      <c r="AC183" s="131">
        <f>IF(NFI_Expiration=1,IF($A183&lt;VLOOKUP(R$5,NFI,5,0),1,0)*Data_NFI_t[[#This Row],[Jerry Can]],0)</f>
        <v>0</v>
      </c>
      <c r="AD183" s="150">
        <f>IF(NFI_Expiration=1,IF($A183&lt;VLOOKUP(S$5,NFI,5,0),1,0)*Data_NFI_t[[#This Row],[Plastic Mat]],0)*IF(Data_NFI_t[[#This Row],[Distribution Date]]&gt;"01-04-2014",1,2.5)</f>
        <v>0</v>
      </c>
      <c r="AE183" s="150" t="str">
        <f ca="1">IFERROR(OFFSET(Camp_List[P_Code],MATCH(Data_NFI_t[[#This Row],[Camp Name]],Camp_List[Camp Name],0)-1,0,1,1),"")</f>
        <v>MMR012CMP032</v>
      </c>
      <c r="AF183" s="714" t="str">
        <f ca="1">IFERROR(OFFSET(Camp_List[Status],MATCH(Data_NFI_t[[#This Row],[Camp Name]],Camp_List[Camp Name],0)-1,0,1,1),"")</f>
        <v>Open</v>
      </c>
    </row>
    <row r="184" spans="1:32" s="102" customFormat="1" ht="15" customHeight="1" x14ac:dyDescent="0.25">
      <c r="A184" s="265">
        <f t="shared" si="2"/>
        <v>33.06666666666667</v>
      </c>
      <c r="B184" s="265">
        <f>YEAR(Data_NFI_t[[#This Row],[Distribution Date]])</f>
        <v>2013</v>
      </c>
      <c r="C184" s="738">
        <v>41347</v>
      </c>
      <c r="D184" s="655" t="s">
        <v>288</v>
      </c>
      <c r="E184" s="654"/>
      <c r="F184" s="655" t="s">
        <v>7</v>
      </c>
      <c r="G184" s="31" t="s">
        <v>20</v>
      </c>
      <c r="H184" s="31" t="s">
        <v>106</v>
      </c>
      <c r="I184" s="31">
        <v>0</v>
      </c>
      <c r="J184" s="61">
        <v>79</v>
      </c>
      <c r="K184" s="61"/>
      <c r="L184" s="61">
        <v>158</v>
      </c>
      <c r="M184" s="61">
        <v>79</v>
      </c>
      <c r="N184" s="61">
        <v>158</v>
      </c>
      <c r="O184" s="61">
        <v>79</v>
      </c>
      <c r="P184" s="61">
        <v>79</v>
      </c>
      <c r="Q184" s="61">
        <v>79</v>
      </c>
      <c r="R184" s="708"/>
      <c r="S184" s="61">
        <v>158</v>
      </c>
      <c r="T184" s="150">
        <f>IF(NFI_Expiration=1,IF($A184&lt;VLOOKUP(I$5,NFI,5,0),1,0)*Data_NFI_t[[#This Row],[Hygiene Kit]],0)</f>
        <v>0</v>
      </c>
      <c r="U184" s="150">
        <f>IF(NFI_Expiration=1,IF($A184&lt;VLOOKUP(J$5,NFI,5,0),1,0)*Data_NFI_t[[#This Row],[NFI Core Kit]],0)</f>
        <v>0</v>
      </c>
      <c r="V184" s="131">
        <f>IF(NFI_Expiration=1,IF($A184&lt;VLOOKUP(K$5,NFI,5,0),1,0)*Data_NFI_t[[#This Row],[Sanitary Kit]],0)</f>
        <v>0</v>
      </c>
      <c r="W184" s="131">
        <f>IF(NFI_Expiration=1,IF($A184&lt;VLOOKUP(L$5,NFI,5,0),1,0)*Data_NFI_t[[#This Row],[Mosquito net]],0)</f>
        <v>0</v>
      </c>
      <c r="X184" s="131">
        <f>IF(NFI_Expiration=1,IF($A184&lt;VLOOKUP(M$5,NFI,5,0),1,0)*Data_NFI_t[[#This Row],[Tarpaulin]],0)</f>
        <v>0</v>
      </c>
      <c r="Y184" s="131">
        <f>IF(NFI_Expiration=1,IF($A184&lt;VLOOKUP(N$5,NFI,5,0),1,0)*Data_NFI_t[[#This Row],[Blanket]],0)</f>
        <v>0</v>
      </c>
      <c r="Z184" s="131">
        <f>IF(NFI_Expiration=1,IF($A184&lt;VLOOKUP(O$5,NFI,5,0),1,0)*Data_NFI_t[[#This Row],[Kitchen Set]],0)</f>
        <v>0</v>
      </c>
      <c r="AA184" s="131">
        <f>IF(NFI_Expiration=1,IF($A184&lt;VLOOKUP(P$5,NFI,5,0),1,0)*Data_NFI_t[[#This Row],[Complementary Kit]],0)</f>
        <v>0</v>
      </c>
      <c r="AB184" s="131">
        <f>IF(NFI_Expiration=1,IF($A184&lt;VLOOKUP(Q$5,NFI,5,0),1,0)*Data_NFI_t[[#This Row],[Plastic Bucket]],0)</f>
        <v>0</v>
      </c>
      <c r="AC184" s="131">
        <f>IF(NFI_Expiration=1,IF($A184&lt;VLOOKUP(R$5,NFI,5,0),1,0)*Data_NFI_t[[#This Row],[Jerry Can]],0)</f>
        <v>0</v>
      </c>
      <c r="AD184" s="150">
        <f>IF(NFI_Expiration=1,IF($A184&lt;VLOOKUP(S$5,NFI,5,0),1,0)*Data_NFI_t[[#This Row],[Plastic Mat]],0)*IF(Data_NFI_t[[#This Row],[Distribution Date]]&gt;"01-04-2014",1,2.5)</f>
        <v>0</v>
      </c>
      <c r="AE184" s="150" t="str">
        <f ca="1">IFERROR(OFFSET(Camp_List[P_Code],MATCH(Data_NFI_t[[#This Row],[Camp Name]],Camp_List[Camp Name],0)-1,0,1,1),"")</f>
        <v>MMR012CMP084</v>
      </c>
      <c r="AF184" s="714" t="str">
        <f ca="1">IFERROR(OFFSET(Camp_List[Status],MATCH(Data_NFI_t[[#This Row],[Camp Name]],Camp_List[Camp Name],0)-1,0,1,1),"")</f>
        <v>Open</v>
      </c>
    </row>
    <row r="185" spans="1:32" s="102" customFormat="1" ht="15" customHeight="1" x14ac:dyDescent="0.25">
      <c r="A185" s="265">
        <f t="shared" si="2"/>
        <v>33.06666666666667</v>
      </c>
      <c r="B185" s="265">
        <f>YEAR(Data_NFI_t[[#This Row],[Distribution Date]])</f>
        <v>2013</v>
      </c>
      <c r="C185" s="738">
        <v>41347</v>
      </c>
      <c r="D185" s="655" t="s">
        <v>288</v>
      </c>
      <c r="E185" s="654"/>
      <c r="F185" s="655" t="s">
        <v>7</v>
      </c>
      <c r="G185" s="31" t="s">
        <v>20</v>
      </c>
      <c r="H185" s="31" t="s">
        <v>106</v>
      </c>
      <c r="I185" s="31">
        <v>0</v>
      </c>
      <c r="J185" s="61"/>
      <c r="K185" s="61">
        <v>158</v>
      </c>
      <c r="L185" s="61">
        <v>292</v>
      </c>
      <c r="M185" s="61">
        <v>79</v>
      </c>
      <c r="N185" s="61">
        <v>0</v>
      </c>
      <c r="O185" s="61"/>
      <c r="P185" s="61"/>
      <c r="Q185" s="61"/>
      <c r="R185" s="708"/>
      <c r="S185" s="61"/>
      <c r="T185" s="150">
        <f>IF(NFI_Expiration=1,IF($A185&lt;VLOOKUP(I$5,NFI,5,0),1,0)*Data_NFI_t[[#This Row],[Hygiene Kit]],0)</f>
        <v>0</v>
      </c>
      <c r="U185" s="150">
        <f>IF(NFI_Expiration=1,IF($A185&lt;VLOOKUP(J$5,NFI,5,0),1,0)*Data_NFI_t[[#This Row],[NFI Core Kit]],0)</f>
        <v>0</v>
      </c>
      <c r="V185" s="131">
        <f>IF(NFI_Expiration=1,IF($A185&lt;VLOOKUP(K$5,NFI,5,0),1,0)*Data_NFI_t[[#This Row],[Sanitary Kit]],0)</f>
        <v>0</v>
      </c>
      <c r="W185" s="131">
        <f>IF(NFI_Expiration=1,IF($A185&lt;VLOOKUP(L$5,NFI,5,0),1,0)*Data_NFI_t[[#This Row],[Mosquito net]],0)</f>
        <v>0</v>
      </c>
      <c r="X185" s="131">
        <f>IF(NFI_Expiration=1,IF($A185&lt;VLOOKUP(M$5,NFI,5,0),1,0)*Data_NFI_t[[#This Row],[Tarpaulin]],0)</f>
        <v>0</v>
      </c>
      <c r="Y185" s="131">
        <f>IF(NFI_Expiration=1,IF($A185&lt;VLOOKUP(N$5,NFI,5,0),1,0)*Data_NFI_t[[#This Row],[Blanket]],0)</f>
        <v>0</v>
      </c>
      <c r="Z185" s="131">
        <f>IF(NFI_Expiration=1,IF($A185&lt;VLOOKUP(O$5,NFI,5,0),1,0)*Data_NFI_t[[#This Row],[Kitchen Set]],0)</f>
        <v>0</v>
      </c>
      <c r="AA185" s="131">
        <f>IF(NFI_Expiration=1,IF($A185&lt;VLOOKUP(P$5,NFI,5,0),1,0)*Data_NFI_t[[#This Row],[Complementary Kit]],0)</f>
        <v>0</v>
      </c>
      <c r="AB185" s="131">
        <f>IF(NFI_Expiration=1,IF($A185&lt;VLOOKUP(Q$5,NFI,5,0),1,0)*Data_NFI_t[[#This Row],[Plastic Bucket]],0)</f>
        <v>0</v>
      </c>
      <c r="AC185" s="131">
        <f>IF(NFI_Expiration=1,IF($A185&lt;VLOOKUP(R$5,NFI,5,0),1,0)*Data_NFI_t[[#This Row],[Jerry Can]],0)</f>
        <v>0</v>
      </c>
      <c r="AD185" s="150">
        <f>IF(NFI_Expiration=1,IF($A185&lt;VLOOKUP(S$5,NFI,5,0),1,0)*Data_NFI_t[[#This Row],[Plastic Mat]],0)*IF(Data_NFI_t[[#This Row],[Distribution Date]]&gt;"01-04-2014",1,2.5)</f>
        <v>0</v>
      </c>
      <c r="AE185" s="150" t="str">
        <f ca="1">IFERROR(OFFSET(Camp_List[P_Code],MATCH(Data_NFI_t[[#This Row],[Camp Name]],Camp_List[Camp Name],0)-1,0,1,1),"")</f>
        <v>MMR012CMP084</v>
      </c>
      <c r="AF185" s="714" t="str">
        <f ca="1">IFERROR(OFFSET(Camp_List[Status],MATCH(Data_NFI_t[[#This Row],[Camp Name]],Camp_List[Camp Name],0)-1,0,1,1),"")</f>
        <v>Open</v>
      </c>
    </row>
    <row r="186" spans="1:32" s="102" customFormat="1" ht="15" customHeight="1" x14ac:dyDescent="0.25">
      <c r="A186" s="265">
        <f t="shared" si="2"/>
        <v>33.06666666666667</v>
      </c>
      <c r="B186" s="265">
        <f>YEAR(Data_NFI_t[[#This Row],[Distribution Date]])</f>
        <v>2013</v>
      </c>
      <c r="C186" s="738">
        <v>41347</v>
      </c>
      <c r="D186" s="655" t="s">
        <v>291</v>
      </c>
      <c r="E186" s="654" t="s">
        <v>291</v>
      </c>
      <c r="F186" s="655" t="s">
        <v>7</v>
      </c>
      <c r="G186" s="31" t="s">
        <v>19</v>
      </c>
      <c r="H186" s="31" t="s">
        <v>67</v>
      </c>
      <c r="I186" s="31">
        <v>2907</v>
      </c>
      <c r="J186" s="61"/>
      <c r="K186" s="61"/>
      <c r="L186" s="61"/>
      <c r="M186" s="61"/>
      <c r="N186" s="61"/>
      <c r="O186" s="61"/>
      <c r="P186" s="61"/>
      <c r="Q186" s="61"/>
      <c r="R186" s="708"/>
      <c r="S186" s="61"/>
      <c r="T186" s="150">
        <f>IF(NFI_Expiration=1,IF($A186&lt;VLOOKUP(I$5,NFI,5,0),1,0)*Data_NFI_t[[#This Row],[Hygiene Kit]],0)</f>
        <v>0</v>
      </c>
      <c r="U186" s="150">
        <f>IF(NFI_Expiration=1,IF($A186&lt;VLOOKUP(J$5,NFI,5,0),1,0)*Data_NFI_t[[#This Row],[NFI Core Kit]],0)</f>
        <v>0</v>
      </c>
      <c r="V186" s="131">
        <f>IF(NFI_Expiration=1,IF($A186&lt;VLOOKUP(K$5,NFI,5,0),1,0)*Data_NFI_t[[#This Row],[Sanitary Kit]],0)</f>
        <v>0</v>
      </c>
      <c r="W186" s="131">
        <f>IF(NFI_Expiration=1,IF($A186&lt;VLOOKUP(L$5,NFI,5,0),1,0)*Data_NFI_t[[#This Row],[Mosquito net]],0)</f>
        <v>0</v>
      </c>
      <c r="X186" s="131">
        <f>IF(NFI_Expiration=1,IF($A186&lt;VLOOKUP(M$5,NFI,5,0),1,0)*Data_NFI_t[[#This Row],[Tarpaulin]],0)</f>
        <v>0</v>
      </c>
      <c r="Y186" s="131">
        <f>IF(NFI_Expiration=1,IF($A186&lt;VLOOKUP(N$5,NFI,5,0),1,0)*Data_NFI_t[[#This Row],[Blanket]],0)</f>
        <v>0</v>
      </c>
      <c r="Z186" s="131">
        <f>IF(NFI_Expiration=1,IF($A186&lt;VLOOKUP(O$5,NFI,5,0),1,0)*Data_NFI_t[[#This Row],[Kitchen Set]],0)</f>
        <v>0</v>
      </c>
      <c r="AA186" s="131">
        <f>IF(NFI_Expiration=1,IF($A186&lt;VLOOKUP(P$5,NFI,5,0),1,0)*Data_NFI_t[[#This Row],[Complementary Kit]],0)</f>
        <v>0</v>
      </c>
      <c r="AB186" s="131">
        <f>IF(NFI_Expiration=1,IF($A186&lt;VLOOKUP(Q$5,NFI,5,0),1,0)*Data_NFI_t[[#This Row],[Plastic Bucket]],0)</f>
        <v>0</v>
      </c>
      <c r="AC186" s="131">
        <f>IF(NFI_Expiration=1,IF($A186&lt;VLOOKUP(R$5,NFI,5,0),1,0)*Data_NFI_t[[#This Row],[Jerry Can]],0)</f>
        <v>0</v>
      </c>
      <c r="AD186" s="150">
        <f>IF(NFI_Expiration=1,IF($A186&lt;VLOOKUP(S$5,NFI,5,0),1,0)*Data_NFI_t[[#This Row],[Plastic Mat]],0)*IF(Data_NFI_t[[#This Row],[Distribution Date]]&gt;"01-04-2014",1,2.5)</f>
        <v>0</v>
      </c>
      <c r="AE186" s="150" t="str">
        <f ca="1">IFERROR(OFFSET(Camp_List[P_Code],MATCH(Data_NFI_t[[#This Row],[Camp Name]],Camp_List[Camp Name],0)-1,0,1,1),"")</f>
        <v>MMR012CMP045</v>
      </c>
      <c r="AF186" s="714" t="str">
        <f ca="1">IFERROR(OFFSET(Camp_List[Status],MATCH(Data_NFI_t[[#This Row],[Camp Name]],Camp_List[Camp Name],0)-1,0,1,1),"")</f>
        <v>Open</v>
      </c>
    </row>
    <row r="187" spans="1:32" s="102" customFormat="1" ht="15" customHeight="1" x14ac:dyDescent="0.25">
      <c r="A187" s="265">
        <f t="shared" si="2"/>
        <v>33.366666666666667</v>
      </c>
      <c r="B187" s="265">
        <f>YEAR(Data_NFI_t[[#This Row],[Distribution Date]])</f>
        <v>2013</v>
      </c>
      <c r="C187" s="738">
        <v>41338</v>
      </c>
      <c r="D187" s="655" t="s">
        <v>288</v>
      </c>
      <c r="E187" s="654"/>
      <c r="F187" s="655" t="s">
        <v>7</v>
      </c>
      <c r="G187" s="31" t="s">
        <v>20</v>
      </c>
      <c r="H187" s="31" t="s">
        <v>105</v>
      </c>
      <c r="I187" s="31">
        <v>0</v>
      </c>
      <c r="J187" s="61">
        <v>0</v>
      </c>
      <c r="K187" s="61">
        <v>0</v>
      </c>
      <c r="L187" s="61">
        <v>34</v>
      </c>
      <c r="M187" s="61">
        <v>0</v>
      </c>
      <c r="N187" s="61">
        <v>0</v>
      </c>
      <c r="O187" s="61"/>
      <c r="P187" s="61"/>
      <c r="Q187" s="61"/>
      <c r="R187" s="708"/>
      <c r="S187" s="61"/>
      <c r="T187" s="150">
        <f>IF(NFI_Expiration=1,IF($A187&lt;VLOOKUP(I$5,NFI,5,0),1,0)*Data_NFI_t[[#This Row],[Hygiene Kit]],0)</f>
        <v>0</v>
      </c>
      <c r="U187" s="150">
        <f>IF(NFI_Expiration=1,IF($A187&lt;VLOOKUP(J$5,NFI,5,0),1,0)*Data_NFI_t[[#This Row],[NFI Core Kit]],0)</f>
        <v>0</v>
      </c>
      <c r="V187" s="131">
        <f>IF(NFI_Expiration=1,IF($A187&lt;VLOOKUP(K$5,NFI,5,0),1,0)*Data_NFI_t[[#This Row],[Sanitary Kit]],0)</f>
        <v>0</v>
      </c>
      <c r="W187" s="131">
        <f>IF(NFI_Expiration=1,IF($A187&lt;VLOOKUP(L$5,NFI,5,0),1,0)*Data_NFI_t[[#This Row],[Mosquito net]],0)</f>
        <v>0</v>
      </c>
      <c r="X187" s="131">
        <f>IF(NFI_Expiration=1,IF($A187&lt;VLOOKUP(M$5,NFI,5,0),1,0)*Data_NFI_t[[#This Row],[Tarpaulin]],0)</f>
        <v>0</v>
      </c>
      <c r="Y187" s="131">
        <f>IF(NFI_Expiration=1,IF($A187&lt;VLOOKUP(N$5,NFI,5,0),1,0)*Data_NFI_t[[#This Row],[Blanket]],0)</f>
        <v>0</v>
      </c>
      <c r="Z187" s="131">
        <f>IF(NFI_Expiration=1,IF($A187&lt;VLOOKUP(O$5,NFI,5,0),1,0)*Data_NFI_t[[#This Row],[Kitchen Set]],0)</f>
        <v>0</v>
      </c>
      <c r="AA187" s="131">
        <f>IF(NFI_Expiration=1,IF($A187&lt;VLOOKUP(P$5,NFI,5,0),1,0)*Data_NFI_t[[#This Row],[Complementary Kit]],0)</f>
        <v>0</v>
      </c>
      <c r="AB187" s="131">
        <f>IF(NFI_Expiration=1,IF($A187&lt;VLOOKUP(Q$5,NFI,5,0),1,0)*Data_NFI_t[[#This Row],[Plastic Bucket]],0)</f>
        <v>0</v>
      </c>
      <c r="AC187" s="131">
        <f>IF(NFI_Expiration=1,IF($A187&lt;VLOOKUP(R$5,NFI,5,0),1,0)*Data_NFI_t[[#This Row],[Jerry Can]],0)</f>
        <v>0</v>
      </c>
      <c r="AD187" s="150">
        <f>IF(NFI_Expiration=1,IF($A187&lt;VLOOKUP(S$5,NFI,5,0),1,0)*Data_NFI_t[[#This Row],[Plastic Mat]],0)*IF(Data_NFI_t[[#This Row],[Distribution Date]]&gt;"01-04-2014",1,2.5)</f>
        <v>0</v>
      </c>
      <c r="AE187" s="150" t="str">
        <f ca="1">IFERROR(OFFSET(Camp_List[P_Code],MATCH(Data_NFI_t[[#This Row],[Camp Name]],Camp_List[Camp Name],0)-1,0,1,1),"")</f>
        <v/>
      </c>
      <c r="AF187" s="714" t="str">
        <f ca="1">IFERROR(OFFSET(Camp_List[Status],MATCH(Data_NFI_t[[#This Row],[Camp Name]],Camp_List[Camp Name],0)-1,0,1,1),"")</f>
        <v/>
      </c>
    </row>
    <row r="188" spans="1:32" s="102" customFormat="1" ht="15" customHeight="1" x14ac:dyDescent="0.25">
      <c r="A188" s="265">
        <f t="shared" si="2"/>
        <v>33.43333333333333</v>
      </c>
      <c r="B188" s="265">
        <f>YEAR(Data_NFI_t[[#This Row],[Distribution Date]])</f>
        <v>2013</v>
      </c>
      <c r="C188" s="738">
        <v>41336</v>
      </c>
      <c r="D188" s="655" t="s">
        <v>288</v>
      </c>
      <c r="E188" s="654"/>
      <c r="F188" s="655" t="s">
        <v>7</v>
      </c>
      <c r="G188" s="31" t="s">
        <v>11</v>
      </c>
      <c r="H188" s="31" t="s">
        <v>31</v>
      </c>
      <c r="I188" s="31"/>
      <c r="J188" s="61"/>
      <c r="K188" s="61"/>
      <c r="L188" s="61"/>
      <c r="M188" s="61"/>
      <c r="N188" s="61">
        <v>33</v>
      </c>
      <c r="O188" s="61"/>
      <c r="P188" s="61"/>
      <c r="Q188" s="61"/>
      <c r="R188" s="708"/>
      <c r="S188" s="61"/>
      <c r="T188" s="150">
        <f>IF(NFI_Expiration=1,IF($A188&lt;VLOOKUP(I$5,NFI,5,0),1,0)*Data_NFI_t[[#This Row],[Hygiene Kit]],0)</f>
        <v>0</v>
      </c>
      <c r="U188" s="150">
        <f>IF(NFI_Expiration=1,IF($A188&lt;VLOOKUP(J$5,NFI,5,0),1,0)*Data_NFI_t[[#This Row],[NFI Core Kit]],0)</f>
        <v>0</v>
      </c>
      <c r="V188" s="131">
        <f>IF(NFI_Expiration=1,IF($A188&lt;VLOOKUP(K$5,NFI,5,0),1,0)*Data_NFI_t[[#This Row],[Sanitary Kit]],0)</f>
        <v>0</v>
      </c>
      <c r="W188" s="131">
        <f>IF(NFI_Expiration=1,IF($A188&lt;VLOOKUP(L$5,NFI,5,0),1,0)*Data_NFI_t[[#This Row],[Mosquito net]],0)</f>
        <v>0</v>
      </c>
      <c r="X188" s="131">
        <f>IF(NFI_Expiration=1,IF($A188&lt;VLOOKUP(M$5,NFI,5,0),1,0)*Data_NFI_t[[#This Row],[Tarpaulin]],0)</f>
        <v>0</v>
      </c>
      <c r="Y188" s="131">
        <f>IF(NFI_Expiration=1,IF($A188&lt;VLOOKUP(N$5,NFI,5,0),1,0)*Data_NFI_t[[#This Row],[Blanket]],0)</f>
        <v>0</v>
      </c>
      <c r="Z188" s="131">
        <f>IF(NFI_Expiration=1,IF($A188&lt;VLOOKUP(O$5,NFI,5,0),1,0)*Data_NFI_t[[#This Row],[Kitchen Set]],0)</f>
        <v>0</v>
      </c>
      <c r="AA188" s="131">
        <f>IF(NFI_Expiration=1,IF($A188&lt;VLOOKUP(P$5,NFI,5,0),1,0)*Data_NFI_t[[#This Row],[Complementary Kit]],0)</f>
        <v>0</v>
      </c>
      <c r="AB188" s="131">
        <f>IF(NFI_Expiration=1,IF($A188&lt;VLOOKUP(Q$5,NFI,5,0),1,0)*Data_NFI_t[[#This Row],[Plastic Bucket]],0)</f>
        <v>0</v>
      </c>
      <c r="AC188" s="131">
        <f>IF(NFI_Expiration=1,IF($A188&lt;VLOOKUP(R$5,NFI,5,0),1,0)*Data_NFI_t[[#This Row],[Jerry Can]],0)</f>
        <v>0</v>
      </c>
      <c r="AD188" s="150">
        <f>IF(NFI_Expiration=1,IF($A188&lt;VLOOKUP(S$5,NFI,5,0),1,0)*Data_NFI_t[[#This Row],[Plastic Mat]],0)*IF(Data_NFI_t[[#This Row],[Distribution Date]]&gt;"01-04-2014",1,2.5)</f>
        <v>0</v>
      </c>
      <c r="AE188" s="150" t="str">
        <f ca="1">IFERROR(OFFSET(Camp_List[P_Code],MATCH(Data_NFI_t[[#This Row],[Camp Name]],Camp_List[Camp Name],0)-1,0,1,1),"")</f>
        <v>MMR012CMP007</v>
      </c>
      <c r="AF188" s="714" t="str">
        <f ca="1">IFERROR(OFFSET(Camp_List[Status],MATCH(Data_NFI_t[[#This Row],[Camp Name]],Camp_List[Camp Name],0)-1,0,1,1),"")</f>
        <v>Close</v>
      </c>
    </row>
    <row r="189" spans="1:32" s="102" customFormat="1" ht="15" customHeight="1" x14ac:dyDescent="0.25">
      <c r="A189" s="265">
        <f t="shared" si="2"/>
        <v>33.5</v>
      </c>
      <c r="B189" s="265">
        <f>YEAR(Data_NFI_t[[#This Row],[Distribution Date]])</f>
        <v>2013</v>
      </c>
      <c r="C189" s="738">
        <v>41334</v>
      </c>
      <c r="D189" s="655" t="s">
        <v>288</v>
      </c>
      <c r="E189" s="654"/>
      <c r="F189" s="655" t="s">
        <v>7</v>
      </c>
      <c r="G189" s="31" t="s">
        <v>20</v>
      </c>
      <c r="H189" s="31" t="s">
        <v>108</v>
      </c>
      <c r="I189" s="31">
        <v>0</v>
      </c>
      <c r="J189" s="61">
        <v>51</v>
      </c>
      <c r="K189" s="61"/>
      <c r="L189" s="61">
        <v>102</v>
      </c>
      <c r="M189" s="61">
        <v>51</v>
      </c>
      <c r="N189" s="61">
        <v>102</v>
      </c>
      <c r="O189" s="61">
        <v>51</v>
      </c>
      <c r="P189" s="61">
        <v>51</v>
      </c>
      <c r="Q189" s="61">
        <v>51</v>
      </c>
      <c r="R189" s="708"/>
      <c r="S189" s="61">
        <v>102</v>
      </c>
      <c r="T189" s="150">
        <f>IF(NFI_Expiration=1,IF($A189&lt;VLOOKUP(I$5,NFI,5,0),1,0)*Data_NFI_t[[#This Row],[Hygiene Kit]],0)</f>
        <v>0</v>
      </c>
      <c r="U189" s="150">
        <f>IF(NFI_Expiration=1,IF($A189&lt;VLOOKUP(J$5,NFI,5,0),1,0)*Data_NFI_t[[#This Row],[NFI Core Kit]],0)</f>
        <v>0</v>
      </c>
      <c r="V189" s="131">
        <f>IF(NFI_Expiration=1,IF($A189&lt;VLOOKUP(K$5,NFI,5,0),1,0)*Data_NFI_t[[#This Row],[Sanitary Kit]],0)</f>
        <v>0</v>
      </c>
      <c r="W189" s="131">
        <f>IF(NFI_Expiration=1,IF($A189&lt;VLOOKUP(L$5,NFI,5,0),1,0)*Data_NFI_t[[#This Row],[Mosquito net]],0)</f>
        <v>0</v>
      </c>
      <c r="X189" s="131">
        <f>IF(NFI_Expiration=1,IF($A189&lt;VLOOKUP(M$5,NFI,5,0),1,0)*Data_NFI_t[[#This Row],[Tarpaulin]],0)</f>
        <v>0</v>
      </c>
      <c r="Y189" s="131">
        <f>IF(NFI_Expiration=1,IF($A189&lt;VLOOKUP(N$5,NFI,5,0),1,0)*Data_NFI_t[[#This Row],[Blanket]],0)</f>
        <v>0</v>
      </c>
      <c r="Z189" s="131">
        <f>IF(NFI_Expiration=1,IF($A189&lt;VLOOKUP(O$5,NFI,5,0),1,0)*Data_NFI_t[[#This Row],[Kitchen Set]],0)</f>
        <v>0</v>
      </c>
      <c r="AA189" s="131">
        <f>IF(NFI_Expiration=1,IF($A189&lt;VLOOKUP(P$5,NFI,5,0),1,0)*Data_NFI_t[[#This Row],[Complementary Kit]],0)</f>
        <v>0</v>
      </c>
      <c r="AB189" s="131">
        <f>IF(NFI_Expiration=1,IF($A189&lt;VLOOKUP(Q$5,NFI,5,0),1,0)*Data_NFI_t[[#This Row],[Plastic Bucket]],0)</f>
        <v>0</v>
      </c>
      <c r="AC189" s="131">
        <f>IF(NFI_Expiration=1,IF($A189&lt;VLOOKUP(R$5,NFI,5,0),1,0)*Data_NFI_t[[#This Row],[Jerry Can]],0)</f>
        <v>0</v>
      </c>
      <c r="AD189" s="150">
        <f>IF(NFI_Expiration=1,IF($A189&lt;VLOOKUP(S$5,NFI,5,0),1,0)*Data_NFI_t[[#This Row],[Plastic Mat]],0)*IF(Data_NFI_t[[#This Row],[Distribution Date]]&gt;"01-04-2014",1,2.5)</f>
        <v>0</v>
      </c>
      <c r="AE189" s="150" t="str">
        <f ca="1">IFERROR(OFFSET(Camp_List[P_Code],MATCH(Data_NFI_t[[#This Row],[Camp Name]],Camp_List[Camp Name],0)-1,0,1,1),"")</f>
        <v>MMR012CMP086</v>
      </c>
      <c r="AF189" s="714" t="str">
        <f ca="1">IFERROR(OFFSET(Camp_List[Status],MATCH(Data_NFI_t[[#This Row],[Camp Name]],Camp_List[Camp Name],0)-1,0,1,1),"")</f>
        <v>Open</v>
      </c>
    </row>
    <row r="190" spans="1:32" s="102" customFormat="1" ht="15" customHeight="1" x14ac:dyDescent="0.25">
      <c r="A190" s="265">
        <f t="shared" si="2"/>
        <v>33.5</v>
      </c>
      <c r="B190" s="265">
        <f>YEAR(Data_NFI_t[[#This Row],[Distribution Date]])</f>
        <v>2013</v>
      </c>
      <c r="C190" s="738">
        <v>41334</v>
      </c>
      <c r="D190" s="655" t="s">
        <v>288</v>
      </c>
      <c r="E190" s="654"/>
      <c r="F190" s="655" t="s">
        <v>7</v>
      </c>
      <c r="G190" s="31" t="s">
        <v>20</v>
      </c>
      <c r="H190" s="31" t="s">
        <v>108</v>
      </c>
      <c r="I190" s="31">
        <v>0</v>
      </c>
      <c r="J190" s="61"/>
      <c r="K190" s="61">
        <v>102</v>
      </c>
      <c r="L190" s="61">
        <v>156</v>
      </c>
      <c r="M190" s="61">
        <v>51</v>
      </c>
      <c r="N190" s="61">
        <v>0</v>
      </c>
      <c r="O190" s="61"/>
      <c r="P190" s="61"/>
      <c r="Q190" s="61"/>
      <c r="R190" s="708"/>
      <c r="S190" s="61"/>
      <c r="T190" s="150">
        <f>IF(NFI_Expiration=1,IF($A190&lt;VLOOKUP(I$5,NFI,5,0),1,0)*Data_NFI_t[[#This Row],[Hygiene Kit]],0)</f>
        <v>0</v>
      </c>
      <c r="U190" s="150">
        <f>IF(NFI_Expiration=1,IF($A190&lt;VLOOKUP(J$5,NFI,5,0),1,0)*Data_NFI_t[[#This Row],[NFI Core Kit]],0)</f>
        <v>0</v>
      </c>
      <c r="V190" s="131">
        <f>IF(NFI_Expiration=1,IF($A190&lt;VLOOKUP(K$5,NFI,5,0),1,0)*Data_NFI_t[[#This Row],[Sanitary Kit]],0)</f>
        <v>0</v>
      </c>
      <c r="W190" s="131">
        <f>IF(NFI_Expiration=1,IF($A190&lt;VLOOKUP(L$5,NFI,5,0),1,0)*Data_NFI_t[[#This Row],[Mosquito net]],0)</f>
        <v>0</v>
      </c>
      <c r="X190" s="131">
        <f>IF(NFI_Expiration=1,IF($A190&lt;VLOOKUP(M$5,NFI,5,0),1,0)*Data_NFI_t[[#This Row],[Tarpaulin]],0)</f>
        <v>0</v>
      </c>
      <c r="Y190" s="131">
        <f>IF(NFI_Expiration=1,IF($A190&lt;VLOOKUP(N$5,NFI,5,0),1,0)*Data_NFI_t[[#This Row],[Blanket]],0)</f>
        <v>0</v>
      </c>
      <c r="Z190" s="131">
        <f>IF(NFI_Expiration=1,IF($A190&lt;VLOOKUP(O$5,NFI,5,0),1,0)*Data_NFI_t[[#This Row],[Kitchen Set]],0)</f>
        <v>0</v>
      </c>
      <c r="AA190" s="131">
        <f>IF(NFI_Expiration=1,IF($A190&lt;VLOOKUP(P$5,NFI,5,0),1,0)*Data_NFI_t[[#This Row],[Complementary Kit]],0)</f>
        <v>0</v>
      </c>
      <c r="AB190" s="131">
        <f>IF(NFI_Expiration=1,IF($A190&lt;VLOOKUP(Q$5,NFI,5,0),1,0)*Data_NFI_t[[#This Row],[Plastic Bucket]],0)</f>
        <v>0</v>
      </c>
      <c r="AC190" s="131">
        <f>IF(NFI_Expiration=1,IF($A190&lt;VLOOKUP(R$5,NFI,5,0),1,0)*Data_NFI_t[[#This Row],[Jerry Can]],0)</f>
        <v>0</v>
      </c>
      <c r="AD190" s="150">
        <f>IF(NFI_Expiration=1,IF($A190&lt;VLOOKUP(S$5,NFI,5,0),1,0)*Data_NFI_t[[#This Row],[Plastic Mat]],0)*IF(Data_NFI_t[[#This Row],[Distribution Date]]&gt;"01-04-2014",1,2.5)</f>
        <v>0</v>
      </c>
      <c r="AE190" s="150" t="str">
        <f ca="1">IFERROR(OFFSET(Camp_List[P_Code],MATCH(Data_NFI_t[[#This Row],[Camp Name]],Camp_List[Camp Name],0)-1,0,1,1),"")</f>
        <v>MMR012CMP086</v>
      </c>
      <c r="AF190" s="714" t="str">
        <f ca="1">IFERROR(OFFSET(Camp_List[Status],MATCH(Data_NFI_t[[#This Row],[Camp Name]],Camp_List[Camp Name],0)-1,0,1,1),"")</f>
        <v>Open</v>
      </c>
    </row>
    <row r="191" spans="1:32" s="102" customFormat="1" ht="15" customHeight="1" x14ac:dyDescent="0.25">
      <c r="A191" s="265">
        <f t="shared" si="2"/>
        <v>33.56666666666667</v>
      </c>
      <c r="B191" s="265">
        <f>YEAR(Data_NFI_t[[#This Row],[Distribution Date]])</f>
        <v>2013</v>
      </c>
      <c r="C191" s="738">
        <v>41332</v>
      </c>
      <c r="D191" s="655" t="s">
        <v>288</v>
      </c>
      <c r="E191" s="654"/>
      <c r="F191" s="655" t="s">
        <v>7</v>
      </c>
      <c r="G191" s="31" t="s">
        <v>20</v>
      </c>
      <c r="H191" s="31" t="s">
        <v>106</v>
      </c>
      <c r="I191" s="31">
        <v>0</v>
      </c>
      <c r="J191" s="61">
        <v>50</v>
      </c>
      <c r="K191" s="61"/>
      <c r="L191" s="61">
        <v>100</v>
      </c>
      <c r="M191" s="61">
        <v>50</v>
      </c>
      <c r="N191" s="61">
        <v>100</v>
      </c>
      <c r="O191" s="61">
        <v>50</v>
      </c>
      <c r="P191" s="61">
        <v>50</v>
      </c>
      <c r="Q191" s="61">
        <v>50</v>
      </c>
      <c r="R191" s="708"/>
      <c r="S191" s="61">
        <v>100</v>
      </c>
      <c r="T191" s="150">
        <f>IF(NFI_Expiration=1,IF($A191&lt;VLOOKUP(I$5,NFI,5,0),1,0)*Data_NFI_t[[#This Row],[Hygiene Kit]],0)</f>
        <v>0</v>
      </c>
      <c r="U191" s="150">
        <f>IF(NFI_Expiration=1,IF($A191&lt;VLOOKUP(J$5,NFI,5,0),1,0)*Data_NFI_t[[#This Row],[NFI Core Kit]],0)</f>
        <v>0</v>
      </c>
      <c r="V191" s="131">
        <f>IF(NFI_Expiration=1,IF($A191&lt;VLOOKUP(K$5,NFI,5,0),1,0)*Data_NFI_t[[#This Row],[Sanitary Kit]],0)</f>
        <v>0</v>
      </c>
      <c r="W191" s="131">
        <f>IF(NFI_Expiration=1,IF($A191&lt;VLOOKUP(L$5,NFI,5,0),1,0)*Data_NFI_t[[#This Row],[Mosquito net]],0)</f>
        <v>0</v>
      </c>
      <c r="X191" s="131">
        <f>IF(NFI_Expiration=1,IF($A191&lt;VLOOKUP(M$5,NFI,5,0),1,0)*Data_NFI_t[[#This Row],[Tarpaulin]],0)</f>
        <v>0</v>
      </c>
      <c r="Y191" s="131">
        <f>IF(NFI_Expiration=1,IF($A191&lt;VLOOKUP(N$5,NFI,5,0),1,0)*Data_NFI_t[[#This Row],[Blanket]],0)</f>
        <v>0</v>
      </c>
      <c r="Z191" s="131">
        <f>IF(NFI_Expiration=1,IF($A191&lt;VLOOKUP(O$5,NFI,5,0),1,0)*Data_NFI_t[[#This Row],[Kitchen Set]],0)</f>
        <v>0</v>
      </c>
      <c r="AA191" s="131">
        <f>IF(NFI_Expiration=1,IF($A191&lt;VLOOKUP(P$5,NFI,5,0),1,0)*Data_NFI_t[[#This Row],[Complementary Kit]],0)</f>
        <v>0</v>
      </c>
      <c r="AB191" s="131">
        <f>IF(NFI_Expiration=1,IF($A191&lt;VLOOKUP(Q$5,NFI,5,0),1,0)*Data_NFI_t[[#This Row],[Plastic Bucket]],0)</f>
        <v>0</v>
      </c>
      <c r="AC191" s="131">
        <f>IF(NFI_Expiration=1,IF($A191&lt;VLOOKUP(R$5,NFI,5,0),1,0)*Data_NFI_t[[#This Row],[Jerry Can]],0)</f>
        <v>0</v>
      </c>
      <c r="AD191" s="150">
        <f>IF(NFI_Expiration=1,IF($A191&lt;VLOOKUP(S$5,NFI,5,0),1,0)*Data_NFI_t[[#This Row],[Plastic Mat]],0)*IF(Data_NFI_t[[#This Row],[Distribution Date]]&gt;"01-04-2014",1,2.5)</f>
        <v>0</v>
      </c>
      <c r="AE191" s="150" t="str">
        <f ca="1">IFERROR(OFFSET(Camp_List[P_Code],MATCH(Data_NFI_t[[#This Row],[Camp Name]],Camp_List[Camp Name],0)-1,0,1,1),"")</f>
        <v>MMR012CMP084</v>
      </c>
      <c r="AF191" s="714" t="str">
        <f ca="1">IFERROR(OFFSET(Camp_List[Status],MATCH(Data_NFI_t[[#This Row],[Camp Name]],Camp_List[Camp Name],0)-1,0,1,1),"")</f>
        <v>Open</v>
      </c>
    </row>
    <row r="192" spans="1:32" s="102" customFormat="1" ht="15" customHeight="1" x14ac:dyDescent="0.25">
      <c r="A192" s="265">
        <f t="shared" si="2"/>
        <v>33.56666666666667</v>
      </c>
      <c r="B192" s="265">
        <f>YEAR(Data_NFI_t[[#This Row],[Distribution Date]])</f>
        <v>2013</v>
      </c>
      <c r="C192" s="738">
        <v>41332</v>
      </c>
      <c r="D192" s="655" t="s">
        <v>288</v>
      </c>
      <c r="E192" s="654"/>
      <c r="F192" s="655" t="s">
        <v>7</v>
      </c>
      <c r="G192" s="31" t="s">
        <v>20</v>
      </c>
      <c r="H192" s="31" t="s">
        <v>106</v>
      </c>
      <c r="I192" s="31">
        <v>0</v>
      </c>
      <c r="J192" s="61"/>
      <c r="K192" s="61">
        <v>100</v>
      </c>
      <c r="L192" s="61">
        <v>171</v>
      </c>
      <c r="M192" s="61">
        <v>50</v>
      </c>
      <c r="N192" s="61">
        <v>0</v>
      </c>
      <c r="O192" s="61"/>
      <c r="P192" s="61"/>
      <c r="Q192" s="61"/>
      <c r="R192" s="708"/>
      <c r="S192" s="61"/>
      <c r="T192" s="150">
        <f>IF(NFI_Expiration=1,IF($A192&lt;VLOOKUP(I$5,NFI,5,0),1,0)*Data_NFI_t[[#This Row],[Hygiene Kit]],0)</f>
        <v>0</v>
      </c>
      <c r="U192" s="150">
        <f>IF(NFI_Expiration=1,IF($A192&lt;VLOOKUP(J$5,NFI,5,0),1,0)*Data_NFI_t[[#This Row],[NFI Core Kit]],0)</f>
        <v>0</v>
      </c>
      <c r="V192" s="131">
        <f>IF(NFI_Expiration=1,IF($A192&lt;VLOOKUP(K$5,NFI,5,0),1,0)*Data_NFI_t[[#This Row],[Sanitary Kit]],0)</f>
        <v>0</v>
      </c>
      <c r="W192" s="131">
        <f>IF(NFI_Expiration=1,IF($A192&lt;VLOOKUP(L$5,NFI,5,0),1,0)*Data_NFI_t[[#This Row],[Mosquito net]],0)</f>
        <v>0</v>
      </c>
      <c r="X192" s="131">
        <f>IF(NFI_Expiration=1,IF($A192&lt;VLOOKUP(M$5,NFI,5,0),1,0)*Data_NFI_t[[#This Row],[Tarpaulin]],0)</f>
        <v>0</v>
      </c>
      <c r="Y192" s="131">
        <f>IF(NFI_Expiration=1,IF($A192&lt;VLOOKUP(N$5,NFI,5,0),1,0)*Data_NFI_t[[#This Row],[Blanket]],0)</f>
        <v>0</v>
      </c>
      <c r="Z192" s="131">
        <f>IF(NFI_Expiration=1,IF($A192&lt;VLOOKUP(O$5,NFI,5,0),1,0)*Data_NFI_t[[#This Row],[Kitchen Set]],0)</f>
        <v>0</v>
      </c>
      <c r="AA192" s="131">
        <f>IF(NFI_Expiration=1,IF($A192&lt;VLOOKUP(P$5,NFI,5,0),1,0)*Data_NFI_t[[#This Row],[Complementary Kit]],0)</f>
        <v>0</v>
      </c>
      <c r="AB192" s="131">
        <f>IF(NFI_Expiration=1,IF($A192&lt;VLOOKUP(Q$5,NFI,5,0),1,0)*Data_NFI_t[[#This Row],[Plastic Bucket]],0)</f>
        <v>0</v>
      </c>
      <c r="AC192" s="131">
        <f>IF(NFI_Expiration=1,IF($A192&lt;VLOOKUP(R$5,NFI,5,0),1,0)*Data_NFI_t[[#This Row],[Jerry Can]],0)</f>
        <v>0</v>
      </c>
      <c r="AD192" s="150">
        <f>IF(NFI_Expiration=1,IF($A192&lt;VLOOKUP(S$5,NFI,5,0),1,0)*Data_NFI_t[[#This Row],[Plastic Mat]],0)*IF(Data_NFI_t[[#This Row],[Distribution Date]]&gt;"01-04-2014",1,2.5)</f>
        <v>0</v>
      </c>
      <c r="AE192" s="150" t="str">
        <f ca="1">IFERROR(OFFSET(Camp_List[P_Code],MATCH(Data_NFI_t[[#This Row],[Camp Name]],Camp_List[Camp Name],0)-1,0,1,1),"")</f>
        <v>MMR012CMP084</v>
      </c>
      <c r="AF192" s="714" t="str">
        <f ca="1">IFERROR(OFFSET(Camp_List[Status],MATCH(Data_NFI_t[[#This Row],[Camp Name]],Camp_List[Camp Name],0)-1,0,1,1),"")</f>
        <v>Open</v>
      </c>
    </row>
    <row r="193" spans="1:32" s="102" customFormat="1" ht="15" customHeight="1" x14ac:dyDescent="0.25">
      <c r="A193" s="265">
        <f t="shared" si="2"/>
        <v>33.56666666666667</v>
      </c>
      <c r="B193" s="265">
        <f>YEAR(Data_NFI_t[[#This Row],[Distribution Date]])</f>
        <v>2013</v>
      </c>
      <c r="C193" s="738">
        <v>41332</v>
      </c>
      <c r="D193" s="655" t="s">
        <v>289</v>
      </c>
      <c r="E193" s="654"/>
      <c r="F193" s="655" t="s">
        <v>7</v>
      </c>
      <c r="G193" s="31" t="s">
        <v>19</v>
      </c>
      <c r="H193" s="31" t="s">
        <v>65</v>
      </c>
      <c r="I193" s="31">
        <v>0</v>
      </c>
      <c r="J193" s="61">
        <v>800</v>
      </c>
      <c r="K193" s="61"/>
      <c r="L193" s="61">
        <v>1600</v>
      </c>
      <c r="M193" s="61">
        <v>800</v>
      </c>
      <c r="N193" s="61">
        <v>1600</v>
      </c>
      <c r="O193" s="61">
        <v>800</v>
      </c>
      <c r="P193" s="61">
        <v>800</v>
      </c>
      <c r="Q193" s="61">
        <v>800</v>
      </c>
      <c r="R193" s="708"/>
      <c r="S193" s="61">
        <v>1600</v>
      </c>
      <c r="T193" s="150">
        <f>IF(NFI_Expiration=1,IF($A193&lt;VLOOKUP(I$5,NFI,5,0),1,0)*Data_NFI_t[[#This Row],[Hygiene Kit]],0)</f>
        <v>0</v>
      </c>
      <c r="U193" s="150">
        <f>IF(NFI_Expiration=1,IF($A193&lt;VLOOKUP(J$5,NFI,5,0),1,0)*Data_NFI_t[[#This Row],[NFI Core Kit]],0)</f>
        <v>0</v>
      </c>
      <c r="V193" s="131">
        <f>IF(NFI_Expiration=1,IF($A193&lt;VLOOKUP(K$5,NFI,5,0),1,0)*Data_NFI_t[[#This Row],[Sanitary Kit]],0)</f>
        <v>0</v>
      </c>
      <c r="W193" s="131">
        <f>IF(NFI_Expiration=1,IF($A193&lt;VLOOKUP(L$5,NFI,5,0),1,0)*Data_NFI_t[[#This Row],[Mosquito net]],0)</f>
        <v>0</v>
      </c>
      <c r="X193" s="131">
        <f>IF(NFI_Expiration=1,IF($A193&lt;VLOOKUP(M$5,NFI,5,0),1,0)*Data_NFI_t[[#This Row],[Tarpaulin]],0)</f>
        <v>0</v>
      </c>
      <c r="Y193" s="131">
        <f>IF(NFI_Expiration=1,IF($A193&lt;VLOOKUP(N$5,NFI,5,0),1,0)*Data_NFI_t[[#This Row],[Blanket]],0)</f>
        <v>0</v>
      </c>
      <c r="Z193" s="131">
        <f>IF(NFI_Expiration=1,IF($A193&lt;VLOOKUP(O$5,NFI,5,0),1,0)*Data_NFI_t[[#This Row],[Kitchen Set]],0)</f>
        <v>0</v>
      </c>
      <c r="AA193" s="131">
        <f>IF(NFI_Expiration=1,IF($A193&lt;VLOOKUP(P$5,NFI,5,0),1,0)*Data_NFI_t[[#This Row],[Complementary Kit]],0)</f>
        <v>0</v>
      </c>
      <c r="AB193" s="131">
        <f>IF(NFI_Expiration=1,IF($A193&lt;VLOOKUP(Q$5,NFI,5,0),1,0)*Data_NFI_t[[#This Row],[Plastic Bucket]],0)</f>
        <v>0</v>
      </c>
      <c r="AC193" s="131">
        <f>IF(NFI_Expiration=1,IF($A193&lt;VLOOKUP(R$5,NFI,5,0),1,0)*Data_NFI_t[[#This Row],[Jerry Can]],0)</f>
        <v>0</v>
      </c>
      <c r="AD193" s="150">
        <f>IF(NFI_Expiration=1,IF($A193&lt;VLOOKUP(S$5,NFI,5,0),1,0)*Data_NFI_t[[#This Row],[Plastic Mat]],0)*IF(Data_NFI_t[[#This Row],[Distribution Date]]&gt;"01-04-2014",1,2.5)</f>
        <v>0</v>
      </c>
      <c r="AE193" s="150" t="str">
        <f ca="1">IFERROR(OFFSET(Camp_List[P_Code],MATCH(Data_NFI_t[[#This Row],[Camp Name]],Camp_List[Camp Name],0)-1,0,1,1),"")</f>
        <v>MMR012CMP043</v>
      </c>
      <c r="AF193" s="714" t="str">
        <f ca="1">IFERROR(OFFSET(Camp_List[Status],MATCH(Data_NFI_t[[#This Row],[Camp Name]],Camp_List[Camp Name],0)-1,0,1,1),"")</f>
        <v>Close</v>
      </c>
    </row>
    <row r="194" spans="1:32" s="102" customFormat="1" ht="15" customHeight="1" x14ac:dyDescent="0.25">
      <c r="A194" s="265">
        <f t="shared" si="2"/>
        <v>33.56666666666667</v>
      </c>
      <c r="B194" s="265">
        <f>YEAR(Data_NFI_t[[#This Row],[Distribution Date]])</f>
        <v>2013</v>
      </c>
      <c r="C194" s="738">
        <v>41332</v>
      </c>
      <c r="D194" s="655" t="s">
        <v>289</v>
      </c>
      <c r="E194" s="654"/>
      <c r="F194" s="655" t="s">
        <v>7</v>
      </c>
      <c r="G194" s="31" t="s">
        <v>19</v>
      </c>
      <c r="H194" s="31" t="s">
        <v>65</v>
      </c>
      <c r="I194" s="31">
        <v>0</v>
      </c>
      <c r="J194" s="61"/>
      <c r="K194" s="61"/>
      <c r="L194" s="61"/>
      <c r="M194" s="61"/>
      <c r="N194" s="61"/>
      <c r="O194" s="61"/>
      <c r="P194" s="61"/>
      <c r="Q194" s="61"/>
      <c r="R194" s="708"/>
      <c r="S194" s="61"/>
      <c r="T194" s="150">
        <f>IF(NFI_Expiration=1,IF($A194&lt;VLOOKUP(I$5,NFI,5,0),1,0)*Data_NFI_t[[#This Row],[Hygiene Kit]],0)</f>
        <v>0</v>
      </c>
      <c r="U194" s="150">
        <f>IF(NFI_Expiration=1,IF($A194&lt;VLOOKUP(J$5,NFI,5,0),1,0)*Data_NFI_t[[#This Row],[NFI Core Kit]],0)</f>
        <v>0</v>
      </c>
      <c r="V194" s="131">
        <f>IF(NFI_Expiration=1,IF($A194&lt;VLOOKUP(K$5,NFI,5,0),1,0)*Data_NFI_t[[#This Row],[Sanitary Kit]],0)</f>
        <v>0</v>
      </c>
      <c r="W194" s="131">
        <f>IF(NFI_Expiration=1,IF($A194&lt;VLOOKUP(L$5,NFI,5,0),1,0)*Data_NFI_t[[#This Row],[Mosquito net]],0)</f>
        <v>0</v>
      </c>
      <c r="X194" s="131">
        <f>IF(NFI_Expiration=1,IF($A194&lt;VLOOKUP(M$5,NFI,5,0),1,0)*Data_NFI_t[[#This Row],[Tarpaulin]],0)</f>
        <v>0</v>
      </c>
      <c r="Y194" s="131">
        <f>IF(NFI_Expiration=1,IF($A194&lt;VLOOKUP(N$5,NFI,5,0),1,0)*Data_NFI_t[[#This Row],[Blanket]],0)</f>
        <v>0</v>
      </c>
      <c r="Z194" s="131">
        <f>IF(NFI_Expiration=1,IF($A194&lt;VLOOKUP(O$5,NFI,5,0),1,0)*Data_NFI_t[[#This Row],[Kitchen Set]],0)</f>
        <v>0</v>
      </c>
      <c r="AA194" s="131">
        <f>IF(NFI_Expiration=1,IF($A194&lt;VLOOKUP(P$5,NFI,5,0),1,0)*Data_NFI_t[[#This Row],[Complementary Kit]],0)</f>
        <v>0</v>
      </c>
      <c r="AB194" s="131">
        <f>IF(NFI_Expiration=1,IF($A194&lt;VLOOKUP(Q$5,NFI,5,0),1,0)*Data_NFI_t[[#This Row],[Plastic Bucket]],0)</f>
        <v>0</v>
      </c>
      <c r="AC194" s="131">
        <f>IF(NFI_Expiration=1,IF($A194&lt;VLOOKUP(R$5,NFI,5,0),1,0)*Data_NFI_t[[#This Row],[Jerry Can]],0)</f>
        <v>0</v>
      </c>
      <c r="AD194" s="150">
        <f>IF(NFI_Expiration=1,IF($A194&lt;VLOOKUP(S$5,NFI,5,0),1,0)*Data_NFI_t[[#This Row],[Plastic Mat]],0)*IF(Data_NFI_t[[#This Row],[Distribution Date]]&gt;"01-04-2014",1,2.5)</f>
        <v>0</v>
      </c>
      <c r="AE194" s="150" t="str">
        <f ca="1">IFERROR(OFFSET(Camp_List[P_Code],MATCH(Data_NFI_t[[#This Row],[Camp Name]],Camp_List[Camp Name],0)-1,0,1,1),"")</f>
        <v>MMR012CMP043</v>
      </c>
      <c r="AF194" s="714" t="str">
        <f ca="1">IFERROR(OFFSET(Camp_List[Status],MATCH(Data_NFI_t[[#This Row],[Camp Name]],Camp_List[Camp Name],0)-1,0,1,1),"")</f>
        <v>Close</v>
      </c>
    </row>
    <row r="195" spans="1:32" s="102" customFormat="1" ht="15" customHeight="1" x14ac:dyDescent="0.25">
      <c r="A195" s="265">
        <f t="shared" si="2"/>
        <v>33.56666666666667</v>
      </c>
      <c r="B195" s="265">
        <f>YEAR(Data_NFI_t[[#This Row],[Distribution Date]])</f>
        <v>2013</v>
      </c>
      <c r="C195" s="738">
        <v>41332</v>
      </c>
      <c r="D195" s="655" t="s">
        <v>289</v>
      </c>
      <c r="E195" s="654"/>
      <c r="F195" s="655" t="s">
        <v>7</v>
      </c>
      <c r="G195" s="31" t="s">
        <v>19</v>
      </c>
      <c r="H195" s="31" t="s">
        <v>78</v>
      </c>
      <c r="I195" s="31">
        <v>0</v>
      </c>
      <c r="J195" s="61">
        <v>200</v>
      </c>
      <c r="K195" s="61"/>
      <c r="L195" s="61">
        <v>400</v>
      </c>
      <c r="M195" s="61">
        <v>200</v>
      </c>
      <c r="N195" s="61">
        <v>400</v>
      </c>
      <c r="O195" s="61">
        <v>200</v>
      </c>
      <c r="P195" s="61">
        <v>200</v>
      </c>
      <c r="Q195" s="61">
        <v>200</v>
      </c>
      <c r="R195" s="708"/>
      <c r="S195" s="61">
        <v>400</v>
      </c>
      <c r="T195" s="150">
        <f>IF(NFI_Expiration=1,IF($A195&lt;VLOOKUP(I$5,NFI,5,0),1,0)*Data_NFI_t[[#This Row],[Hygiene Kit]],0)</f>
        <v>0</v>
      </c>
      <c r="U195" s="150">
        <f>IF(NFI_Expiration=1,IF($A195&lt;VLOOKUP(J$5,NFI,5,0),1,0)*Data_NFI_t[[#This Row],[NFI Core Kit]],0)</f>
        <v>0</v>
      </c>
      <c r="V195" s="131">
        <f>IF(NFI_Expiration=1,IF($A195&lt;VLOOKUP(K$5,NFI,5,0),1,0)*Data_NFI_t[[#This Row],[Sanitary Kit]],0)</f>
        <v>0</v>
      </c>
      <c r="W195" s="131">
        <f>IF(NFI_Expiration=1,IF($A195&lt;VLOOKUP(L$5,NFI,5,0),1,0)*Data_NFI_t[[#This Row],[Mosquito net]],0)</f>
        <v>0</v>
      </c>
      <c r="X195" s="131">
        <f>IF(NFI_Expiration=1,IF($A195&lt;VLOOKUP(M$5,NFI,5,0),1,0)*Data_NFI_t[[#This Row],[Tarpaulin]],0)</f>
        <v>0</v>
      </c>
      <c r="Y195" s="131">
        <f>IF(NFI_Expiration=1,IF($A195&lt;VLOOKUP(N$5,NFI,5,0),1,0)*Data_NFI_t[[#This Row],[Blanket]],0)</f>
        <v>0</v>
      </c>
      <c r="Z195" s="131">
        <f>IF(NFI_Expiration=1,IF($A195&lt;VLOOKUP(O$5,NFI,5,0),1,0)*Data_NFI_t[[#This Row],[Kitchen Set]],0)</f>
        <v>0</v>
      </c>
      <c r="AA195" s="131">
        <f>IF(NFI_Expiration=1,IF($A195&lt;VLOOKUP(P$5,NFI,5,0),1,0)*Data_NFI_t[[#This Row],[Complementary Kit]],0)</f>
        <v>0</v>
      </c>
      <c r="AB195" s="131">
        <f>IF(NFI_Expiration=1,IF($A195&lt;VLOOKUP(Q$5,NFI,5,0),1,0)*Data_NFI_t[[#This Row],[Plastic Bucket]],0)</f>
        <v>0</v>
      </c>
      <c r="AC195" s="131">
        <f>IF(NFI_Expiration=1,IF($A195&lt;VLOOKUP(R$5,NFI,5,0),1,0)*Data_NFI_t[[#This Row],[Jerry Can]],0)</f>
        <v>0</v>
      </c>
      <c r="AD195" s="150">
        <f>IF(NFI_Expiration=1,IF($A195&lt;VLOOKUP(S$5,NFI,5,0),1,0)*Data_NFI_t[[#This Row],[Plastic Mat]],0)*IF(Data_NFI_t[[#This Row],[Distribution Date]]&gt;"01-04-2014",1,2.5)</f>
        <v>0</v>
      </c>
      <c r="AE195" s="150" t="str">
        <f ca="1">IFERROR(OFFSET(Camp_List[P_Code],MATCH(Data_NFI_t[[#This Row],[Camp Name]],Camp_List[Camp Name],0)-1,0,1,1),"")</f>
        <v>MMR012CMP056</v>
      </c>
      <c r="AF195" s="714" t="str">
        <f ca="1">IFERROR(OFFSET(Camp_List[Status],MATCH(Data_NFI_t[[#This Row],[Camp Name]],Camp_List[Camp Name],0)-1,0,1,1),"")</f>
        <v>Open</v>
      </c>
    </row>
    <row r="196" spans="1:32" s="102" customFormat="1" ht="15" customHeight="1" x14ac:dyDescent="0.25">
      <c r="A196" s="265">
        <f t="shared" si="2"/>
        <v>33.56666666666667</v>
      </c>
      <c r="B196" s="265">
        <f>YEAR(Data_NFI_t[[#This Row],[Distribution Date]])</f>
        <v>2013</v>
      </c>
      <c r="C196" s="738">
        <v>41332</v>
      </c>
      <c r="D196" s="655" t="s">
        <v>289</v>
      </c>
      <c r="E196" s="654"/>
      <c r="F196" s="655" t="s">
        <v>7</v>
      </c>
      <c r="G196" s="31" t="s">
        <v>19</v>
      </c>
      <c r="H196" s="31" t="s">
        <v>78</v>
      </c>
      <c r="I196" s="31">
        <v>0</v>
      </c>
      <c r="J196" s="61"/>
      <c r="K196" s="61"/>
      <c r="L196" s="61"/>
      <c r="M196" s="61"/>
      <c r="N196" s="61"/>
      <c r="O196" s="61"/>
      <c r="P196" s="61"/>
      <c r="Q196" s="61"/>
      <c r="R196" s="708"/>
      <c r="S196" s="61"/>
      <c r="T196" s="150">
        <f>IF(NFI_Expiration=1,IF($A196&lt;VLOOKUP(I$5,NFI,5,0),1,0)*Data_NFI_t[[#This Row],[Hygiene Kit]],0)</f>
        <v>0</v>
      </c>
      <c r="U196" s="150">
        <f>IF(NFI_Expiration=1,IF($A196&lt;VLOOKUP(J$5,NFI,5,0),1,0)*Data_NFI_t[[#This Row],[NFI Core Kit]],0)</f>
        <v>0</v>
      </c>
      <c r="V196" s="131">
        <f>IF(NFI_Expiration=1,IF($A196&lt;VLOOKUP(K$5,NFI,5,0),1,0)*Data_NFI_t[[#This Row],[Sanitary Kit]],0)</f>
        <v>0</v>
      </c>
      <c r="W196" s="131">
        <f>IF(NFI_Expiration=1,IF($A196&lt;VLOOKUP(L$5,NFI,5,0),1,0)*Data_NFI_t[[#This Row],[Mosquito net]],0)</f>
        <v>0</v>
      </c>
      <c r="X196" s="131">
        <f>IF(NFI_Expiration=1,IF($A196&lt;VLOOKUP(M$5,NFI,5,0),1,0)*Data_NFI_t[[#This Row],[Tarpaulin]],0)</f>
        <v>0</v>
      </c>
      <c r="Y196" s="131">
        <f>IF(NFI_Expiration=1,IF($A196&lt;VLOOKUP(N$5,NFI,5,0),1,0)*Data_NFI_t[[#This Row],[Blanket]],0)</f>
        <v>0</v>
      </c>
      <c r="Z196" s="131">
        <f>IF(NFI_Expiration=1,IF($A196&lt;VLOOKUP(O$5,NFI,5,0),1,0)*Data_NFI_t[[#This Row],[Kitchen Set]],0)</f>
        <v>0</v>
      </c>
      <c r="AA196" s="131">
        <f>IF(NFI_Expiration=1,IF($A196&lt;VLOOKUP(P$5,NFI,5,0),1,0)*Data_NFI_t[[#This Row],[Complementary Kit]],0)</f>
        <v>0</v>
      </c>
      <c r="AB196" s="131">
        <f>IF(NFI_Expiration=1,IF($A196&lt;VLOOKUP(Q$5,NFI,5,0),1,0)*Data_NFI_t[[#This Row],[Plastic Bucket]],0)</f>
        <v>0</v>
      </c>
      <c r="AC196" s="131">
        <f>IF(NFI_Expiration=1,IF($A196&lt;VLOOKUP(R$5,NFI,5,0),1,0)*Data_NFI_t[[#This Row],[Jerry Can]],0)</f>
        <v>0</v>
      </c>
      <c r="AD196" s="150">
        <f>IF(NFI_Expiration=1,IF($A196&lt;VLOOKUP(S$5,NFI,5,0),1,0)*Data_NFI_t[[#This Row],[Plastic Mat]],0)*IF(Data_NFI_t[[#This Row],[Distribution Date]]&gt;"01-04-2014",1,2.5)</f>
        <v>0</v>
      </c>
      <c r="AE196" s="150" t="str">
        <f ca="1">IFERROR(OFFSET(Camp_List[P_Code],MATCH(Data_NFI_t[[#This Row],[Camp Name]],Camp_List[Camp Name],0)-1,0,1,1),"")</f>
        <v>MMR012CMP056</v>
      </c>
      <c r="AF196" s="714" t="str">
        <f ca="1">IFERROR(OFFSET(Camp_List[Status],MATCH(Data_NFI_t[[#This Row],[Camp Name]],Camp_List[Camp Name],0)-1,0,1,1),"")</f>
        <v>Open</v>
      </c>
    </row>
    <row r="197" spans="1:32" s="102" customFormat="1" ht="15" customHeight="1" x14ac:dyDescent="0.25">
      <c r="A197" s="265">
        <f t="shared" si="2"/>
        <v>33.733333333333334</v>
      </c>
      <c r="B197" s="265">
        <f>YEAR(Data_NFI_t[[#This Row],[Distribution Date]])</f>
        <v>2013</v>
      </c>
      <c r="C197" s="738">
        <v>41327</v>
      </c>
      <c r="D197" s="655" t="s">
        <v>290</v>
      </c>
      <c r="E197" s="654"/>
      <c r="F197" s="655" t="s">
        <v>7</v>
      </c>
      <c r="G197" s="31" t="s">
        <v>14</v>
      </c>
      <c r="H197" s="31" t="s">
        <v>39</v>
      </c>
      <c r="I197" s="31">
        <v>23</v>
      </c>
      <c r="J197" s="61">
        <v>0</v>
      </c>
      <c r="K197" s="61"/>
      <c r="L197" s="61"/>
      <c r="M197" s="61"/>
      <c r="N197" s="61"/>
      <c r="O197" s="61"/>
      <c r="P197" s="61"/>
      <c r="Q197" s="61"/>
      <c r="R197" s="708"/>
      <c r="S197" s="61"/>
      <c r="T197" s="150">
        <f>IF(NFI_Expiration=1,IF($A197&lt;VLOOKUP(I$5,NFI,5,0),1,0)*Data_NFI_t[[#This Row],[Hygiene Kit]],0)</f>
        <v>0</v>
      </c>
      <c r="U197" s="150">
        <f>IF(NFI_Expiration=1,IF($A197&lt;VLOOKUP(J$5,NFI,5,0),1,0)*Data_NFI_t[[#This Row],[NFI Core Kit]],0)</f>
        <v>0</v>
      </c>
      <c r="V197" s="131">
        <f>IF(NFI_Expiration=1,IF($A197&lt;VLOOKUP(K$5,NFI,5,0),1,0)*Data_NFI_t[[#This Row],[Sanitary Kit]],0)</f>
        <v>0</v>
      </c>
      <c r="W197" s="131">
        <f>IF(NFI_Expiration=1,IF($A197&lt;VLOOKUP(L$5,NFI,5,0),1,0)*Data_NFI_t[[#This Row],[Mosquito net]],0)</f>
        <v>0</v>
      </c>
      <c r="X197" s="131">
        <f>IF(NFI_Expiration=1,IF($A197&lt;VLOOKUP(M$5,NFI,5,0),1,0)*Data_NFI_t[[#This Row],[Tarpaulin]],0)</f>
        <v>0</v>
      </c>
      <c r="Y197" s="131">
        <f>IF(NFI_Expiration=1,IF($A197&lt;VLOOKUP(N$5,NFI,5,0),1,0)*Data_NFI_t[[#This Row],[Blanket]],0)</f>
        <v>0</v>
      </c>
      <c r="Z197" s="131">
        <f>IF(NFI_Expiration=1,IF($A197&lt;VLOOKUP(O$5,NFI,5,0),1,0)*Data_NFI_t[[#This Row],[Kitchen Set]],0)</f>
        <v>0</v>
      </c>
      <c r="AA197" s="131">
        <f>IF(NFI_Expiration=1,IF($A197&lt;VLOOKUP(P$5,NFI,5,0),1,0)*Data_NFI_t[[#This Row],[Complementary Kit]],0)</f>
        <v>0</v>
      </c>
      <c r="AB197" s="131">
        <f>IF(NFI_Expiration=1,IF($A197&lt;VLOOKUP(Q$5,NFI,5,0),1,0)*Data_NFI_t[[#This Row],[Plastic Bucket]],0)</f>
        <v>0</v>
      </c>
      <c r="AC197" s="131">
        <f>IF(NFI_Expiration=1,IF($A197&lt;VLOOKUP(R$5,NFI,5,0),1,0)*Data_NFI_t[[#This Row],[Jerry Can]],0)</f>
        <v>0</v>
      </c>
      <c r="AD197" s="150">
        <f>IF(NFI_Expiration=1,IF($A197&lt;VLOOKUP(S$5,NFI,5,0),1,0)*Data_NFI_t[[#This Row],[Plastic Mat]],0)*IF(Data_NFI_t[[#This Row],[Distribution Date]]&gt;"01-04-2014",1,2.5)</f>
        <v>0</v>
      </c>
      <c r="AE197" s="150" t="str">
        <f ca="1">IFERROR(OFFSET(Camp_List[P_Code],MATCH(Data_NFI_t[[#This Row],[Camp Name]],Camp_List[Camp Name],0)-1,0,1,1),"")</f>
        <v>MMR012CMP015</v>
      </c>
      <c r="AF197" s="714" t="str">
        <f ca="1">IFERROR(OFFSET(Camp_List[Status],MATCH(Data_NFI_t[[#This Row],[Camp Name]],Camp_List[Camp Name],0)-1,0,1,1),"")</f>
        <v>Open</v>
      </c>
    </row>
    <row r="198" spans="1:32" s="102" customFormat="1" ht="15" customHeight="1" x14ac:dyDescent="0.25">
      <c r="A198" s="265">
        <f t="shared" ref="A198:A261" si="3">IF(ISBLANK(C198),"",(Report_Date-C198)/30)</f>
        <v>33.733333333333334</v>
      </c>
      <c r="B198" s="265">
        <f>YEAR(Data_NFI_t[[#This Row],[Distribution Date]])</f>
        <v>2013</v>
      </c>
      <c r="C198" s="738">
        <v>41327</v>
      </c>
      <c r="D198" s="655" t="s">
        <v>290</v>
      </c>
      <c r="E198" s="654"/>
      <c r="F198" s="655" t="s">
        <v>7</v>
      </c>
      <c r="G198" s="31" t="s">
        <v>14</v>
      </c>
      <c r="H198" s="31" t="s">
        <v>41</v>
      </c>
      <c r="I198" s="31">
        <v>1306</v>
      </c>
      <c r="J198" s="61">
        <v>0</v>
      </c>
      <c r="K198" s="61"/>
      <c r="L198" s="61"/>
      <c r="M198" s="61"/>
      <c r="N198" s="61"/>
      <c r="O198" s="61"/>
      <c r="P198" s="61"/>
      <c r="Q198" s="61"/>
      <c r="R198" s="708"/>
      <c r="S198" s="61"/>
      <c r="T198" s="150">
        <f>IF(NFI_Expiration=1,IF($A198&lt;VLOOKUP(I$5,NFI,5,0),1,0)*Data_NFI_t[[#This Row],[Hygiene Kit]],0)</f>
        <v>0</v>
      </c>
      <c r="U198" s="150">
        <f>IF(NFI_Expiration=1,IF($A198&lt;VLOOKUP(J$5,NFI,5,0),1,0)*Data_NFI_t[[#This Row],[NFI Core Kit]],0)</f>
        <v>0</v>
      </c>
      <c r="V198" s="131">
        <f>IF(NFI_Expiration=1,IF($A198&lt;VLOOKUP(K$5,NFI,5,0),1,0)*Data_NFI_t[[#This Row],[Sanitary Kit]],0)</f>
        <v>0</v>
      </c>
      <c r="W198" s="131">
        <f>IF(NFI_Expiration=1,IF($A198&lt;VLOOKUP(L$5,NFI,5,0),1,0)*Data_NFI_t[[#This Row],[Mosquito net]],0)</f>
        <v>0</v>
      </c>
      <c r="X198" s="131">
        <f>IF(NFI_Expiration=1,IF($A198&lt;VLOOKUP(M$5,NFI,5,0),1,0)*Data_NFI_t[[#This Row],[Tarpaulin]],0)</f>
        <v>0</v>
      </c>
      <c r="Y198" s="131">
        <f>IF(NFI_Expiration=1,IF($A198&lt;VLOOKUP(N$5,NFI,5,0),1,0)*Data_NFI_t[[#This Row],[Blanket]],0)</f>
        <v>0</v>
      </c>
      <c r="Z198" s="131">
        <f>IF(NFI_Expiration=1,IF($A198&lt;VLOOKUP(O$5,NFI,5,0),1,0)*Data_NFI_t[[#This Row],[Kitchen Set]],0)</f>
        <v>0</v>
      </c>
      <c r="AA198" s="131">
        <f>IF(NFI_Expiration=1,IF($A198&lt;VLOOKUP(P$5,NFI,5,0),1,0)*Data_NFI_t[[#This Row],[Complementary Kit]],0)</f>
        <v>0</v>
      </c>
      <c r="AB198" s="131">
        <f>IF(NFI_Expiration=1,IF($A198&lt;VLOOKUP(Q$5,NFI,5,0),1,0)*Data_NFI_t[[#This Row],[Plastic Bucket]],0)</f>
        <v>0</v>
      </c>
      <c r="AC198" s="131">
        <f>IF(NFI_Expiration=1,IF($A198&lt;VLOOKUP(R$5,NFI,5,0),1,0)*Data_NFI_t[[#This Row],[Jerry Can]],0)</f>
        <v>0</v>
      </c>
      <c r="AD198" s="150">
        <f>IF(NFI_Expiration=1,IF($A198&lt;VLOOKUP(S$5,NFI,5,0),1,0)*Data_NFI_t[[#This Row],[Plastic Mat]],0)*IF(Data_NFI_t[[#This Row],[Distribution Date]]&gt;"01-04-2014",1,2.5)</f>
        <v>0</v>
      </c>
      <c r="AE198" s="150" t="str">
        <f ca="1">IFERROR(OFFSET(Camp_List[P_Code],MATCH(Data_NFI_t[[#This Row],[Camp Name]],Camp_List[Camp Name],0)-1,0,1,1),"")</f>
        <v>MMR012CMP017</v>
      </c>
      <c r="AF198" s="714" t="str">
        <f ca="1">IFERROR(OFFSET(Camp_List[Status],MATCH(Data_NFI_t[[#This Row],[Camp Name]],Camp_List[Camp Name],0)-1,0,1,1),"")</f>
        <v>Open</v>
      </c>
    </row>
    <row r="199" spans="1:32" s="102" customFormat="1" ht="15" customHeight="1" x14ac:dyDescent="0.25">
      <c r="A199" s="265">
        <f t="shared" si="3"/>
        <v>33.733333333333334</v>
      </c>
      <c r="B199" s="265">
        <f>YEAR(Data_NFI_t[[#This Row],[Distribution Date]])</f>
        <v>2013</v>
      </c>
      <c r="C199" s="738">
        <v>41327</v>
      </c>
      <c r="D199" s="655" t="s">
        <v>288</v>
      </c>
      <c r="E199" s="654"/>
      <c r="F199" s="655" t="s">
        <v>7</v>
      </c>
      <c r="G199" s="31" t="s">
        <v>20</v>
      </c>
      <c r="H199" s="31" t="s">
        <v>104</v>
      </c>
      <c r="I199" s="31">
        <v>0</v>
      </c>
      <c r="J199" s="61">
        <v>15</v>
      </c>
      <c r="K199" s="61"/>
      <c r="L199" s="61">
        <v>30</v>
      </c>
      <c r="M199" s="61">
        <v>15</v>
      </c>
      <c r="N199" s="61">
        <v>30</v>
      </c>
      <c r="O199" s="61">
        <v>15</v>
      </c>
      <c r="P199" s="61">
        <v>15</v>
      </c>
      <c r="Q199" s="61">
        <v>15</v>
      </c>
      <c r="R199" s="708"/>
      <c r="S199" s="61">
        <v>30</v>
      </c>
      <c r="T199" s="150">
        <f>IF(NFI_Expiration=1,IF($A199&lt;VLOOKUP(I$5,NFI,5,0),1,0)*Data_NFI_t[[#This Row],[Hygiene Kit]],0)</f>
        <v>0</v>
      </c>
      <c r="U199" s="150">
        <f>IF(NFI_Expiration=1,IF($A199&lt;VLOOKUP(J$5,NFI,5,0),1,0)*Data_NFI_t[[#This Row],[NFI Core Kit]],0)</f>
        <v>0</v>
      </c>
      <c r="V199" s="131">
        <f>IF(NFI_Expiration=1,IF($A199&lt;VLOOKUP(K$5,NFI,5,0),1,0)*Data_NFI_t[[#This Row],[Sanitary Kit]],0)</f>
        <v>0</v>
      </c>
      <c r="W199" s="131">
        <f>IF(NFI_Expiration=1,IF($A199&lt;VLOOKUP(L$5,NFI,5,0),1,0)*Data_NFI_t[[#This Row],[Mosquito net]],0)</f>
        <v>0</v>
      </c>
      <c r="X199" s="131">
        <f>IF(NFI_Expiration=1,IF($A199&lt;VLOOKUP(M$5,NFI,5,0),1,0)*Data_NFI_t[[#This Row],[Tarpaulin]],0)</f>
        <v>0</v>
      </c>
      <c r="Y199" s="131">
        <f>IF(NFI_Expiration=1,IF($A199&lt;VLOOKUP(N$5,NFI,5,0),1,0)*Data_NFI_t[[#This Row],[Blanket]],0)</f>
        <v>0</v>
      </c>
      <c r="Z199" s="131">
        <f>IF(NFI_Expiration=1,IF($A199&lt;VLOOKUP(O$5,NFI,5,0),1,0)*Data_NFI_t[[#This Row],[Kitchen Set]],0)</f>
        <v>0</v>
      </c>
      <c r="AA199" s="131">
        <f>IF(NFI_Expiration=1,IF($A199&lt;VLOOKUP(P$5,NFI,5,0),1,0)*Data_NFI_t[[#This Row],[Complementary Kit]],0)</f>
        <v>0</v>
      </c>
      <c r="AB199" s="131">
        <f>IF(NFI_Expiration=1,IF($A199&lt;VLOOKUP(Q$5,NFI,5,0),1,0)*Data_NFI_t[[#This Row],[Plastic Bucket]],0)</f>
        <v>0</v>
      </c>
      <c r="AC199" s="131">
        <f>IF(NFI_Expiration=1,IF($A199&lt;VLOOKUP(R$5,NFI,5,0),1,0)*Data_NFI_t[[#This Row],[Jerry Can]],0)</f>
        <v>0</v>
      </c>
      <c r="AD199" s="150">
        <f>IF(NFI_Expiration=1,IF($A199&lt;VLOOKUP(S$5,NFI,5,0),1,0)*Data_NFI_t[[#This Row],[Plastic Mat]],0)*IF(Data_NFI_t[[#This Row],[Distribution Date]]&gt;"01-04-2014",1,2.5)</f>
        <v>0</v>
      </c>
      <c r="AE199" s="150" t="str">
        <f ca="1">IFERROR(OFFSET(Camp_List[P_Code],MATCH(Data_NFI_t[[#This Row],[Camp Name]],Camp_List[Camp Name],0)-1,0,1,1),"")</f>
        <v>MMR012CMP082</v>
      </c>
      <c r="AF199" s="714" t="str">
        <f ca="1">IFERROR(OFFSET(Camp_List[Status],MATCH(Data_NFI_t[[#This Row],[Camp Name]],Camp_List[Camp Name],0)-1,0,1,1),"")</f>
        <v>Open</v>
      </c>
    </row>
    <row r="200" spans="1:32" s="102" customFormat="1" ht="15" customHeight="1" x14ac:dyDescent="0.25">
      <c r="A200" s="265">
        <f t="shared" si="3"/>
        <v>33.733333333333334</v>
      </c>
      <c r="B200" s="265">
        <f>YEAR(Data_NFI_t[[#This Row],[Distribution Date]])</f>
        <v>2013</v>
      </c>
      <c r="C200" s="738">
        <v>41327</v>
      </c>
      <c r="D200" s="655" t="s">
        <v>288</v>
      </c>
      <c r="E200" s="654"/>
      <c r="F200" s="655" t="s">
        <v>7</v>
      </c>
      <c r="G200" s="31" t="s">
        <v>20</v>
      </c>
      <c r="H200" s="31" t="s">
        <v>104</v>
      </c>
      <c r="I200" s="31">
        <v>0</v>
      </c>
      <c r="J200" s="61"/>
      <c r="K200" s="61">
        <v>30</v>
      </c>
      <c r="L200" s="61">
        <v>52</v>
      </c>
      <c r="M200" s="61">
        <v>15</v>
      </c>
      <c r="N200" s="61">
        <v>0</v>
      </c>
      <c r="O200" s="61"/>
      <c r="P200" s="61"/>
      <c r="Q200" s="61"/>
      <c r="R200" s="708"/>
      <c r="S200" s="61"/>
      <c r="T200" s="150">
        <f>IF(NFI_Expiration=1,IF($A200&lt;VLOOKUP(I$5,NFI,5,0),1,0)*Data_NFI_t[[#This Row],[Hygiene Kit]],0)</f>
        <v>0</v>
      </c>
      <c r="U200" s="150">
        <f>IF(NFI_Expiration=1,IF($A200&lt;VLOOKUP(J$5,NFI,5,0),1,0)*Data_NFI_t[[#This Row],[NFI Core Kit]],0)</f>
        <v>0</v>
      </c>
      <c r="V200" s="131">
        <f>IF(NFI_Expiration=1,IF($A200&lt;VLOOKUP(K$5,NFI,5,0),1,0)*Data_NFI_t[[#This Row],[Sanitary Kit]],0)</f>
        <v>0</v>
      </c>
      <c r="W200" s="131">
        <f>IF(NFI_Expiration=1,IF($A200&lt;VLOOKUP(L$5,NFI,5,0),1,0)*Data_NFI_t[[#This Row],[Mosquito net]],0)</f>
        <v>0</v>
      </c>
      <c r="X200" s="131">
        <f>IF(NFI_Expiration=1,IF($A200&lt;VLOOKUP(M$5,NFI,5,0),1,0)*Data_NFI_t[[#This Row],[Tarpaulin]],0)</f>
        <v>0</v>
      </c>
      <c r="Y200" s="131">
        <f>IF(NFI_Expiration=1,IF($A200&lt;VLOOKUP(N$5,NFI,5,0),1,0)*Data_NFI_t[[#This Row],[Blanket]],0)</f>
        <v>0</v>
      </c>
      <c r="Z200" s="131">
        <f>IF(NFI_Expiration=1,IF($A200&lt;VLOOKUP(O$5,NFI,5,0),1,0)*Data_NFI_t[[#This Row],[Kitchen Set]],0)</f>
        <v>0</v>
      </c>
      <c r="AA200" s="131">
        <f>IF(NFI_Expiration=1,IF($A200&lt;VLOOKUP(P$5,NFI,5,0),1,0)*Data_NFI_t[[#This Row],[Complementary Kit]],0)</f>
        <v>0</v>
      </c>
      <c r="AB200" s="131">
        <f>IF(NFI_Expiration=1,IF($A200&lt;VLOOKUP(Q$5,NFI,5,0),1,0)*Data_NFI_t[[#This Row],[Plastic Bucket]],0)</f>
        <v>0</v>
      </c>
      <c r="AC200" s="131">
        <f>IF(NFI_Expiration=1,IF($A200&lt;VLOOKUP(R$5,NFI,5,0),1,0)*Data_NFI_t[[#This Row],[Jerry Can]],0)</f>
        <v>0</v>
      </c>
      <c r="AD200" s="150">
        <f>IF(NFI_Expiration=1,IF($A200&lt;VLOOKUP(S$5,NFI,5,0),1,0)*Data_NFI_t[[#This Row],[Plastic Mat]],0)*IF(Data_NFI_t[[#This Row],[Distribution Date]]&gt;"01-04-2014",1,2.5)</f>
        <v>0</v>
      </c>
      <c r="AE200" s="150" t="str">
        <f ca="1">IFERROR(OFFSET(Camp_List[P_Code],MATCH(Data_NFI_t[[#This Row],[Camp Name]],Camp_List[Camp Name],0)-1,0,1,1),"")</f>
        <v>MMR012CMP082</v>
      </c>
      <c r="AF200" s="714" t="str">
        <f ca="1">IFERROR(OFFSET(Camp_List[Status],MATCH(Data_NFI_t[[#This Row],[Camp Name]],Camp_List[Camp Name],0)-1,0,1,1),"")</f>
        <v>Open</v>
      </c>
    </row>
    <row r="201" spans="1:32" s="102" customFormat="1" ht="15" customHeight="1" x14ac:dyDescent="0.25">
      <c r="A201" s="265">
        <f t="shared" si="3"/>
        <v>33.766666666666666</v>
      </c>
      <c r="B201" s="265">
        <f>YEAR(Data_NFI_t[[#This Row],[Distribution Date]])</f>
        <v>2013</v>
      </c>
      <c r="C201" s="738">
        <v>41326</v>
      </c>
      <c r="D201" s="655" t="s">
        <v>529</v>
      </c>
      <c r="E201" s="654" t="s">
        <v>295</v>
      </c>
      <c r="F201" s="655" t="s">
        <v>7</v>
      </c>
      <c r="G201" s="31" t="s">
        <v>19</v>
      </c>
      <c r="H201" s="31" t="s">
        <v>68</v>
      </c>
      <c r="I201" s="31">
        <v>1542</v>
      </c>
      <c r="J201" s="61"/>
      <c r="K201" s="61"/>
      <c r="L201" s="61"/>
      <c r="M201" s="61"/>
      <c r="N201" s="61"/>
      <c r="O201" s="61"/>
      <c r="P201" s="61"/>
      <c r="Q201" s="61"/>
      <c r="R201" s="708"/>
      <c r="S201" s="61"/>
      <c r="T201" s="150">
        <f>IF(NFI_Expiration=1,IF($A201&lt;VLOOKUP(I$5,NFI,5,0),1,0)*Data_NFI_t[[#This Row],[Hygiene Kit]],0)</f>
        <v>0</v>
      </c>
      <c r="U201" s="150">
        <f>IF(NFI_Expiration=1,IF($A201&lt;VLOOKUP(J$5,NFI,5,0),1,0)*Data_NFI_t[[#This Row],[NFI Core Kit]],0)</f>
        <v>0</v>
      </c>
      <c r="V201" s="131">
        <f>IF(NFI_Expiration=1,IF($A201&lt;VLOOKUP(K$5,NFI,5,0),1,0)*Data_NFI_t[[#This Row],[Sanitary Kit]],0)</f>
        <v>0</v>
      </c>
      <c r="W201" s="131">
        <f>IF(NFI_Expiration=1,IF($A201&lt;VLOOKUP(L$5,NFI,5,0),1,0)*Data_NFI_t[[#This Row],[Mosquito net]],0)</f>
        <v>0</v>
      </c>
      <c r="X201" s="131">
        <f>IF(NFI_Expiration=1,IF($A201&lt;VLOOKUP(M$5,NFI,5,0),1,0)*Data_NFI_t[[#This Row],[Tarpaulin]],0)</f>
        <v>0</v>
      </c>
      <c r="Y201" s="131">
        <f>IF(NFI_Expiration=1,IF($A201&lt;VLOOKUP(N$5,NFI,5,0),1,0)*Data_NFI_t[[#This Row],[Blanket]],0)</f>
        <v>0</v>
      </c>
      <c r="Z201" s="131">
        <f>IF(NFI_Expiration=1,IF($A201&lt;VLOOKUP(O$5,NFI,5,0),1,0)*Data_NFI_t[[#This Row],[Kitchen Set]],0)</f>
        <v>0</v>
      </c>
      <c r="AA201" s="131">
        <f>IF(NFI_Expiration=1,IF($A201&lt;VLOOKUP(P$5,NFI,5,0),1,0)*Data_NFI_t[[#This Row],[Complementary Kit]],0)</f>
        <v>0</v>
      </c>
      <c r="AB201" s="131">
        <f>IF(NFI_Expiration=1,IF($A201&lt;VLOOKUP(Q$5,NFI,5,0),1,0)*Data_NFI_t[[#This Row],[Plastic Bucket]],0)</f>
        <v>0</v>
      </c>
      <c r="AC201" s="131">
        <f>IF(NFI_Expiration=1,IF($A201&lt;VLOOKUP(R$5,NFI,5,0),1,0)*Data_NFI_t[[#This Row],[Jerry Can]],0)</f>
        <v>0</v>
      </c>
      <c r="AD201" s="150">
        <f>IF(NFI_Expiration=1,IF($A201&lt;VLOOKUP(S$5,NFI,5,0),1,0)*Data_NFI_t[[#This Row],[Plastic Mat]],0)*IF(Data_NFI_t[[#This Row],[Distribution Date]]&gt;"01-04-2014",1,2.5)</f>
        <v>0</v>
      </c>
      <c r="AE201" s="150" t="str">
        <f ca="1">IFERROR(OFFSET(Camp_List[P_Code],MATCH(Data_NFI_t[[#This Row],[Camp Name]],Camp_List[Camp Name],0)-1,0,1,1),"")</f>
        <v>MMR012CMP046</v>
      </c>
      <c r="AF201" s="714" t="str">
        <f ca="1">IFERROR(OFFSET(Camp_List[Status],MATCH(Data_NFI_t[[#This Row],[Camp Name]],Camp_List[Camp Name],0)-1,0,1,1),"")</f>
        <v>Open</v>
      </c>
    </row>
    <row r="202" spans="1:32" s="102" customFormat="1" ht="15" customHeight="1" x14ac:dyDescent="0.25">
      <c r="A202" s="265">
        <f t="shared" si="3"/>
        <v>33.966666666666669</v>
      </c>
      <c r="B202" s="265">
        <f>YEAR(Data_NFI_t[[#This Row],[Distribution Date]])</f>
        <v>2013</v>
      </c>
      <c r="C202" s="738">
        <v>41320</v>
      </c>
      <c r="D202" s="655" t="s">
        <v>290</v>
      </c>
      <c r="E202" s="654"/>
      <c r="F202" s="655" t="s">
        <v>7</v>
      </c>
      <c r="G202" s="31" t="s">
        <v>11</v>
      </c>
      <c r="H202" s="31" t="s">
        <v>30</v>
      </c>
      <c r="I202" s="31">
        <v>90</v>
      </c>
      <c r="J202" s="61"/>
      <c r="K202" s="61"/>
      <c r="L202" s="61"/>
      <c r="M202" s="61"/>
      <c r="N202" s="61"/>
      <c r="O202" s="61"/>
      <c r="P202" s="61"/>
      <c r="Q202" s="61"/>
      <c r="R202" s="708"/>
      <c r="S202" s="61"/>
      <c r="T202" s="150">
        <f>IF(NFI_Expiration=1,IF($A202&lt;VLOOKUP(I$5,NFI,5,0),1,0)*Data_NFI_t[[#This Row],[Hygiene Kit]],0)</f>
        <v>0</v>
      </c>
      <c r="U202" s="150">
        <f>IF(NFI_Expiration=1,IF($A202&lt;VLOOKUP(J$5,NFI,5,0),1,0)*Data_NFI_t[[#This Row],[NFI Core Kit]],0)</f>
        <v>0</v>
      </c>
      <c r="V202" s="131">
        <f>IF(NFI_Expiration=1,IF($A202&lt;VLOOKUP(K$5,NFI,5,0),1,0)*Data_NFI_t[[#This Row],[Sanitary Kit]],0)</f>
        <v>0</v>
      </c>
      <c r="W202" s="131">
        <f>IF(NFI_Expiration=1,IF($A202&lt;VLOOKUP(L$5,NFI,5,0),1,0)*Data_NFI_t[[#This Row],[Mosquito net]],0)</f>
        <v>0</v>
      </c>
      <c r="X202" s="131">
        <f>IF(NFI_Expiration=1,IF($A202&lt;VLOOKUP(M$5,NFI,5,0),1,0)*Data_NFI_t[[#This Row],[Tarpaulin]],0)</f>
        <v>0</v>
      </c>
      <c r="Y202" s="131">
        <f>IF(NFI_Expiration=1,IF($A202&lt;VLOOKUP(N$5,NFI,5,0),1,0)*Data_NFI_t[[#This Row],[Blanket]],0)</f>
        <v>0</v>
      </c>
      <c r="Z202" s="131">
        <f>IF(NFI_Expiration=1,IF($A202&lt;VLOOKUP(O$5,NFI,5,0),1,0)*Data_NFI_t[[#This Row],[Kitchen Set]],0)</f>
        <v>0</v>
      </c>
      <c r="AA202" s="131">
        <f>IF(NFI_Expiration=1,IF($A202&lt;VLOOKUP(P$5,NFI,5,0),1,0)*Data_NFI_t[[#This Row],[Complementary Kit]],0)</f>
        <v>0</v>
      </c>
      <c r="AB202" s="131">
        <f>IF(NFI_Expiration=1,IF($A202&lt;VLOOKUP(Q$5,NFI,5,0),1,0)*Data_NFI_t[[#This Row],[Plastic Bucket]],0)</f>
        <v>0</v>
      </c>
      <c r="AC202" s="131">
        <f>IF(NFI_Expiration=1,IF($A202&lt;VLOOKUP(R$5,NFI,5,0),1,0)*Data_NFI_t[[#This Row],[Jerry Can]],0)</f>
        <v>0</v>
      </c>
      <c r="AD202" s="150">
        <f>IF(NFI_Expiration=1,IF($A202&lt;VLOOKUP(S$5,NFI,5,0),1,0)*Data_NFI_t[[#This Row],[Plastic Mat]],0)*IF(Data_NFI_t[[#This Row],[Distribution Date]]&gt;"01-04-2014",1,2.5)</f>
        <v>0</v>
      </c>
      <c r="AE202" s="150" t="str">
        <f ca="1">IFERROR(OFFSET(Camp_List[P_Code],MATCH(Data_NFI_t[[#This Row],[Camp Name]],Camp_List[Camp Name],0)-1,0,1,1),"")</f>
        <v>MMR012CMP006</v>
      </c>
      <c r="AF202" s="714" t="str">
        <f ca="1">IFERROR(OFFSET(Camp_List[Status],MATCH(Data_NFI_t[[#This Row],[Camp Name]],Camp_List[Camp Name],0)-1,0,1,1),"")</f>
        <v>Open</v>
      </c>
    </row>
    <row r="203" spans="1:32" s="102" customFormat="1" ht="15" customHeight="1" x14ac:dyDescent="0.25">
      <c r="A203" s="265">
        <f t="shared" si="3"/>
        <v>33.966666666666669</v>
      </c>
      <c r="B203" s="265">
        <f>YEAR(Data_NFI_t[[#This Row],[Distribution Date]])</f>
        <v>2013</v>
      </c>
      <c r="C203" s="738">
        <v>41320</v>
      </c>
      <c r="D203" s="655" t="s">
        <v>290</v>
      </c>
      <c r="E203" s="654"/>
      <c r="F203" s="655" t="s">
        <v>7</v>
      </c>
      <c r="G203" s="31" t="s">
        <v>12</v>
      </c>
      <c r="H203" s="31" t="s">
        <v>35</v>
      </c>
      <c r="I203" s="31">
        <v>35</v>
      </c>
      <c r="J203" s="61"/>
      <c r="K203" s="61"/>
      <c r="L203" s="61"/>
      <c r="M203" s="61"/>
      <c r="N203" s="61"/>
      <c r="O203" s="61"/>
      <c r="P203" s="61"/>
      <c r="Q203" s="61"/>
      <c r="R203" s="708"/>
      <c r="S203" s="61"/>
      <c r="T203" s="150">
        <f>IF(NFI_Expiration=1,IF($A203&lt;VLOOKUP(I$5,NFI,5,0),1,0)*Data_NFI_t[[#This Row],[Hygiene Kit]],0)</f>
        <v>0</v>
      </c>
      <c r="U203" s="150">
        <f>IF(NFI_Expiration=1,IF($A203&lt;VLOOKUP(J$5,NFI,5,0),1,0)*Data_NFI_t[[#This Row],[NFI Core Kit]],0)</f>
        <v>0</v>
      </c>
      <c r="V203" s="131">
        <f>IF(NFI_Expiration=1,IF($A203&lt;VLOOKUP(K$5,NFI,5,0),1,0)*Data_NFI_t[[#This Row],[Sanitary Kit]],0)</f>
        <v>0</v>
      </c>
      <c r="W203" s="131">
        <f>IF(NFI_Expiration=1,IF($A203&lt;VLOOKUP(L$5,NFI,5,0),1,0)*Data_NFI_t[[#This Row],[Mosquito net]],0)</f>
        <v>0</v>
      </c>
      <c r="X203" s="131">
        <f>IF(NFI_Expiration=1,IF($A203&lt;VLOOKUP(M$5,NFI,5,0),1,0)*Data_NFI_t[[#This Row],[Tarpaulin]],0)</f>
        <v>0</v>
      </c>
      <c r="Y203" s="131">
        <f>IF(NFI_Expiration=1,IF($A203&lt;VLOOKUP(N$5,NFI,5,0),1,0)*Data_NFI_t[[#This Row],[Blanket]],0)</f>
        <v>0</v>
      </c>
      <c r="Z203" s="131">
        <f>IF(NFI_Expiration=1,IF($A203&lt;VLOOKUP(O$5,NFI,5,0),1,0)*Data_NFI_t[[#This Row],[Kitchen Set]],0)</f>
        <v>0</v>
      </c>
      <c r="AA203" s="131">
        <f>IF(NFI_Expiration=1,IF($A203&lt;VLOOKUP(P$5,NFI,5,0),1,0)*Data_NFI_t[[#This Row],[Complementary Kit]],0)</f>
        <v>0</v>
      </c>
      <c r="AB203" s="131">
        <f>IF(NFI_Expiration=1,IF($A203&lt;VLOOKUP(Q$5,NFI,5,0),1,0)*Data_NFI_t[[#This Row],[Plastic Bucket]],0)</f>
        <v>0</v>
      </c>
      <c r="AC203" s="131">
        <f>IF(NFI_Expiration=1,IF($A203&lt;VLOOKUP(R$5,NFI,5,0),1,0)*Data_NFI_t[[#This Row],[Jerry Can]],0)</f>
        <v>0</v>
      </c>
      <c r="AD203" s="150">
        <f>IF(NFI_Expiration=1,IF($A203&lt;VLOOKUP(S$5,NFI,5,0),1,0)*Data_NFI_t[[#This Row],[Plastic Mat]],0)*IF(Data_NFI_t[[#This Row],[Distribution Date]]&gt;"01-04-2014",1,2.5)</f>
        <v>0</v>
      </c>
      <c r="AE203" s="150" t="str">
        <f ca="1">IFERROR(OFFSET(Camp_List[P_Code],MATCH(Data_NFI_t[[#This Row],[Camp Name]],Camp_List[Camp Name],0)-1,0,1,1),"")</f>
        <v>MMR012CMP011</v>
      </c>
      <c r="AF203" s="714" t="str">
        <f ca="1">IFERROR(OFFSET(Camp_List[Status],MATCH(Data_NFI_t[[#This Row],[Camp Name]],Camp_List[Camp Name],0)-1,0,1,1),"")</f>
        <v>Close</v>
      </c>
    </row>
    <row r="204" spans="1:32" s="102" customFormat="1" ht="15" customHeight="1" x14ac:dyDescent="0.25">
      <c r="A204" s="265">
        <f t="shared" si="3"/>
        <v>33.966666666666669</v>
      </c>
      <c r="B204" s="265">
        <f>YEAR(Data_NFI_t[[#This Row],[Distribution Date]])</f>
        <v>2013</v>
      </c>
      <c r="C204" s="738">
        <v>41320</v>
      </c>
      <c r="D204" s="655" t="s">
        <v>290</v>
      </c>
      <c r="E204" s="654"/>
      <c r="F204" s="655" t="s">
        <v>7</v>
      </c>
      <c r="G204" s="31" t="s">
        <v>11</v>
      </c>
      <c r="H204" s="31" t="s">
        <v>28</v>
      </c>
      <c r="I204" s="31">
        <v>230</v>
      </c>
      <c r="J204" s="61"/>
      <c r="K204" s="61"/>
      <c r="L204" s="61"/>
      <c r="M204" s="61"/>
      <c r="N204" s="61"/>
      <c r="O204" s="61"/>
      <c r="P204" s="61"/>
      <c r="Q204" s="61"/>
      <c r="R204" s="708"/>
      <c r="S204" s="61"/>
      <c r="T204" s="150">
        <f>IF(NFI_Expiration=1,IF($A204&lt;VLOOKUP(I$5,NFI,5,0),1,0)*Data_NFI_t[[#This Row],[Hygiene Kit]],0)</f>
        <v>0</v>
      </c>
      <c r="U204" s="150">
        <f>IF(NFI_Expiration=1,IF($A204&lt;VLOOKUP(J$5,NFI,5,0),1,0)*Data_NFI_t[[#This Row],[NFI Core Kit]],0)</f>
        <v>0</v>
      </c>
      <c r="V204" s="131">
        <f>IF(NFI_Expiration=1,IF($A204&lt;VLOOKUP(K$5,NFI,5,0),1,0)*Data_NFI_t[[#This Row],[Sanitary Kit]],0)</f>
        <v>0</v>
      </c>
      <c r="W204" s="131">
        <f>IF(NFI_Expiration=1,IF($A204&lt;VLOOKUP(L$5,NFI,5,0),1,0)*Data_NFI_t[[#This Row],[Mosquito net]],0)</f>
        <v>0</v>
      </c>
      <c r="X204" s="131">
        <f>IF(NFI_Expiration=1,IF($A204&lt;VLOOKUP(M$5,NFI,5,0),1,0)*Data_NFI_t[[#This Row],[Tarpaulin]],0)</f>
        <v>0</v>
      </c>
      <c r="Y204" s="131">
        <f>IF(NFI_Expiration=1,IF($A204&lt;VLOOKUP(N$5,NFI,5,0),1,0)*Data_NFI_t[[#This Row],[Blanket]],0)</f>
        <v>0</v>
      </c>
      <c r="Z204" s="131">
        <f>IF(NFI_Expiration=1,IF($A204&lt;VLOOKUP(O$5,NFI,5,0),1,0)*Data_NFI_t[[#This Row],[Kitchen Set]],0)</f>
        <v>0</v>
      </c>
      <c r="AA204" s="131">
        <f>IF(NFI_Expiration=1,IF($A204&lt;VLOOKUP(P$5,NFI,5,0),1,0)*Data_NFI_t[[#This Row],[Complementary Kit]],0)</f>
        <v>0</v>
      </c>
      <c r="AB204" s="131">
        <f>IF(NFI_Expiration=1,IF($A204&lt;VLOOKUP(Q$5,NFI,5,0),1,0)*Data_NFI_t[[#This Row],[Plastic Bucket]],0)</f>
        <v>0</v>
      </c>
      <c r="AC204" s="131">
        <f>IF(NFI_Expiration=1,IF($A204&lt;VLOOKUP(R$5,NFI,5,0),1,0)*Data_NFI_t[[#This Row],[Jerry Can]],0)</f>
        <v>0</v>
      </c>
      <c r="AD204" s="150">
        <f>IF(NFI_Expiration=1,IF($A204&lt;VLOOKUP(S$5,NFI,5,0),1,0)*Data_NFI_t[[#This Row],[Plastic Mat]],0)*IF(Data_NFI_t[[#This Row],[Distribution Date]]&gt;"01-04-2014",1,2.5)</f>
        <v>0</v>
      </c>
      <c r="AE204" s="150" t="str">
        <f ca="1">IFERROR(OFFSET(Camp_List[P_Code],MATCH(Data_NFI_t[[#This Row],[Camp Name]],Camp_List[Camp Name],0)-1,0,1,1),"")</f>
        <v>MMR012CMP004</v>
      </c>
      <c r="AF204" s="714" t="str">
        <f ca="1">IFERROR(OFFSET(Camp_List[Status],MATCH(Data_NFI_t[[#This Row],[Camp Name]],Camp_List[Camp Name],0)-1,0,1,1),"")</f>
        <v>Close</v>
      </c>
    </row>
    <row r="205" spans="1:32" s="102" customFormat="1" ht="15" customHeight="1" x14ac:dyDescent="0.25">
      <c r="A205" s="265">
        <f t="shared" si="3"/>
        <v>33.966666666666669</v>
      </c>
      <c r="B205" s="265">
        <f>YEAR(Data_NFI_t[[#This Row],[Distribution Date]])</f>
        <v>2013</v>
      </c>
      <c r="C205" s="738">
        <v>41320</v>
      </c>
      <c r="D205" s="655" t="s">
        <v>290</v>
      </c>
      <c r="E205" s="654"/>
      <c r="F205" s="655" t="s">
        <v>7</v>
      </c>
      <c r="G205" s="31" t="s">
        <v>12</v>
      </c>
      <c r="H205" s="31" t="s">
        <v>33</v>
      </c>
      <c r="I205" s="31">
        <v>245</v>
      </c>
      <c r="J205" s="61"/>
      <c r="K205" s="61"/>
      <c r="L205" s="61"/>
      <c r="M205" s="61"/>
      <c r="N205" s="61"/>
      <c r="O205" s="61"/>
      <c r="P205" s="61"/>
      <c r="Q205" s="61"/>
      <c r="R205" s="708"/>
      <c r="S205" s="61"/>
      <c r="T205" s="150">
        <f>IF(NFI_Expiration=1,IF($A205&lt;VLOOKUP(I$5,NFI,5,0),1,0)*Data_NFI_t[[#This Row],[Hygiene Kit]],0)</f>
        <v>0</v>
      </c>
      <c r="U205" s="150">
        <f>IF(NFI_Expiration=1,IF($A205&lt;VLOOKUP(J$5,NFI,5,0),1,0)*Data_NFI_t[[#This Row],[NFI Core Kit]],0)</f>
        <v>0</v>
      </c>
      <c r="V205" s="131">
        <f>IF(NFI_Expiration=1,IF($A205&lt;VLOOKUP(K$5,NFI,5,0),1,0)*Data_NFI_t[[#This Row],[Sanitary Kit]],0)</f>
        <v>0</v>
      </c>
      <c r="W205" s="131">
        <f>IF(NFI_Expiration=1,IF($A205&lt;VLOOKUP(L$5,NFI,5,0),1,0)*Data_NFI_t[[#This Row],[Mosquito net]],0)</f>
        <v>0</v>
      </c>
      <c r="X205" s="131">
        <f>IF(NFI_Expiration=1,IF($A205&lt;VLOOKUP(M$5,NFI,5,0),1,0)*Data_NFI_t[[#This Row],[Tarpaulin]],0)</f>
        <v>0</v>
      </c>
      <c r="Y205" s="131">
        <f>IF(NFI_Expiration=1,IF($A205&lt;VLOOKUP(N$5,NFI,5,0),1,0)*Data_NFI_t[[#This Row],[Blanket]],0)</f>
        <v>0</v>
      </c>
      <c r="Z205" s="131">
        <f>IF(NFI_Expiration=1,IF($A205&lt;VLOOKUP(O$5,NFI,5,0),1,0)*Data_NFI_t[[#This Row],[Kitchen Set]],0)</f>
        <v>0</v>
      </c>
      <c r="AA205" s="131">
        <f>IF(NFI_Expiration=1,IF($A205&lt;VLOOKUP(P$5,NFI,5,0),1,0)*Data_NFI_t[[#This Row],[Complementary Kit]],0)</f>
        <v>0</v>
      </c>
      <c r="AB205" s="131">
        <f>IF(NFI_Expiration=1,IF($A205&lt;VLOOKUP(Q$5,NFI,5,0),1,0)*Data_NFI_t[[#This Row],[Plastic Bucket]],0)</f>
        <v>0</v>
      </c>
      <c r="AC205" s="131">
        <f>IF(NFI_Expiration=1,IF($A205&lt;VLOOKUP(R$5,NFI,5,0),1,0)*Data_NFI_t[[#This Row],[Jerry Can]],0)</f>
        <v>0</v>
      </c>
      <c r="AD205" s="150">
        <f>IF(NFI_Expiration=1,IF($A205&lt;VLOOKUP(S$5,NFI,5,0),1,0)*Data_NFI_t[[#This Row],[Plastic Mat]],0)*IF(Data_NFI_t[[#This Row],[Distribution Date]]&gt;"01-04-2014",1,2.5)</f>
        <v>0</v>
      </c>
      <c r="AE205" s="150" t="str">
        <f ca="1">IFERROR(OFFSET(Camp_List[P_Code],MATCH(Data_NFI_t[[#This Row],[Camp Name]],Camp_List[Camp Name],0)-1,0,1,1),"")</f>
        <v>MMR012CMP009</v>
      </c>
      <c r="AF205" s="714" t="str">
        <f ca="1">IFERROR(OFFSET(Camp_List[Status],MATCH(Data_NFI_t[[#This Row],[Camp Name]],Camp_List[Camp Name],0)-1,0,1,1),"")</f>
        <v>Open</v>
      </c>
    </row>
    <row r="206" spans="1:32" s="102" customFormat="1" ht="15" customHeight="1" x14ac:dyDescent="0.25">
      <c r="A206" s="265">
        <f t="shared" si="3"/>
        <v>33.966666666666669</v>
      </c>
      <c r="B206" s="265">
        <f>YEAR(Data_NFI_t[[#This Row],[Distribution Date]])</f>
        <v>2013</v>
      </c>
      <c r="C206" s="738">
        <v>41320</v>
      </c>
      <c r="D206" s="655" t="s">
        <v>290</v>
      </c>
      <c r="E206" s="654"/>
      <c r="F206" s="655" t="s">
        <v>7</v>
      </c>
      <c r="G206" s="31" t="s">
        <v>11</v>
      </c>
      <c r="H206" s="31" t="s">
        <v>25</v>
      </c>
      <c r="I206" s="31">
        <v>20</v>
      </c>
      <c r="J206" s="61"/>
      <c r="K206" s="61"/>
      <c r="L206" s="61"/>
      <c r="M206" s="61"/>
      <c r="N206" s="61"/>
      <c r="O206" s="61"/>
      <c r="P206" s="61"/>
      <c r="Q206" s="61"/>
      <c r="R206" s="708"/>
      <c r="S206" s="61"/>
      <c r="T206" s="150">
        <f>IF(NFI_Expiration=1,IF($A206&lt;VLOOKUP(I$5,NFI,5,0),1,0)*Data_NFI_t[[#This Row],[Hygiene Kit]],0)</f>
        <v>0</v>
      </c>
      <c r="U206" s="150">
        <f>IF(NFI_Expiration=1,IF($A206&lt;VLOOKUP(J$5,NFI,5,0),1,0)*Data_NFI_t[[#This Row],[NFI Core Kit]],0)</f>
        <v>0</v>
      </c>
      <c r="V206" s="131">
        <f>IF(NFI_Expiration=1,IF($A206&lt;VLOOKUP(K$5,NFI,5,0),1,0)*Data_NFI_t[[#This Row],[Sanitary Kit]],0)</f>
        <v>0</v>
      </c>
      <c r="W206" s="131">
        <f>IF(NFI_Expiration=1,IF($A206&lt;VLOOKUP(L$5,NFI,5,0),1,0)*Data_NFI_t[[#This Row],[Mosquito net]],0)</f>
        <v>0</v>
      </c>
      <c r="X206" s="131">
        <f>IF(NFI_Expiration=1,IF($A206&lt;VLOOKUP(M$5,NFI,5,0),1,0)*Data_NFI_t[[#This Row],[Tarpaulin]],0)</f>
        <v>0</v>
      </c>
      <c r="Y206" s="131">
        <f>IF(NFI_Expiration=1,IF($A206&lt;VLOOKUP(N$5,NFI,5,0),1,0)*Data_NFI_t[[#This Row],[Blanket]],0)</f>
        <v>0</v>
      </c>
      <c r="Z206" s="131">
        <f>IF(NFI_Expiration=1,IF($A206&lt;VLOOKUP(O$5,NFI,5,0),1,0)*Data_NFI_t[[#This Row],[Kitchen Set]],0)</f>
        <v>0</v>
      </c>
      <c r="AA206" s="131">
        <f>IF(NFI_Expiration=1,IF($A206&lt;VLOOKUP(P$5,NFI,5,0),1,0)*Data_NFI_t[[#This Row],[Complementary Kit]],0)</f>
        <v>0</v>
      </c>
      <c r="AB206" s="131">
        <f>IF(NFI_Expiration=1,IF($A206&lt;VLOOKUP(Q$5,NFI,5,0),1,0)*Data_NFI_t[[#This Row],[Plastic Bucket]],0)</f>
        <v>0</v>
      </c>
      <c r="AC206" s="131">
        <f>IF(NFI_Expiration=1,IF($A206&lt;VLOOKUP(R$5,NFI,5,0),1,0)*Data_NFI_t[[#This Row],[Jerry Can]],0)</f>
        <v>0</v>
      </c>
      <c r="AD206" s="150">
        <f>IF(NFI_Expiration=1,IF($A206&lt;VLOOKUP(S$5,NFI,5,0),1,0)*Data_NFI_t[[#This Row],[Plastic Mat]],0)*IF(Data_NFI_t[[#This Row],[Distribution Date]]&gt;"01-04-2014",1,2.5)</f>
        <v>0</v>
      </c>
      <c r="AE206" s="150" t="str">
        <f ca="1">IFERROR(OFFSET(Camp_List[P_Code],MATCH(Data_NFI_t[[#This Row],[Camp Name]],Camp_List[Camp Name],0)-1,0,1,1),"")</f>
        <v>MMR012CMP001</v>
      </c>
      <c r="AF206" s="714" t="str">
        <f ca="1">IFERROR(OFFSET(Camp_List[Status],MATCH(Data_NFI_t[[#This Row],[Camp Name]],Camp_List[Camp Name],0)-1,0,1,1),"")</f>
        <v>Open</v>
      </c>
    </row>
    <row r="207" spans="1:32" s="102" customFormat="1" ht="15" customHeight="1" x14ac:dyDescent="0.25">
      <c r="A207" s="265">
        <f t="shared" si="3"/>
        <v>33.966666666666669</v>
      </c>
      <c r="B207" s="265">
        <f>YEAR(Data_NFI_t[[#This Row],[Distribution Date]])</f>
        <v>2013</v>
      </c>
      <c r="C207" s="738">
        <v>41320</v>
      </c>
      <c r="D207" s="655" t="s">
        <v>290</v>
      </c>
      <c r="E207" s="654"/>
      <c r="F207" s="655" t="s">
        <v>7</v>
      </c>
      <c r="G207" s="31" t="s">
        <v>11</v>
      </c>
      <c r="H207" s="31" t="s">
        <v>32</v>
      </c>
      <c r="I207" s="31">
        <v>230</v>
      </c>
      <c r="J207" s="61"/>
      <c r="K207" s="61"/>
      <c r="L207" s="61"/>
      <c r="M207" s="61"/>
      <c r="N207" s="61"/>
      <c r="O207" s="61"/>
      <c r="P207" s="61"/>
      <c r="Q207" s="61"/>
      <c r="R207" s="708"/>
      <c r="S207" s="61"/>
      <c r="T207" s="150">
        <f>IF(NFI_Expiration=1,IF($A207&lt;VLOOKUP(I$5,NFI,5,0),1,0)*Data_NFI_t[[#This Row],[Hygiene Kit]],0)</f>
        <v>0</v>
      </c>
      <c r="U207" s="150">
        <f>IF(NFI_Expiration=1,IF($A207&lt;VLOOKUP(J$5,NFI,5,0),1,0)*Data_NFI_t[[#This Row],[NFI Core Kit]],0)</f>
        <v>0</v>
      </c>
      <c r="V207" s="131">
        <f>IF(NFI_Expiration=1,IF($A207&lt;VLOOKUP(K$5,NFI,5,0),1,0)*Data_NFI_t[[#This Row],[Sanitary Kit]],0)</f>
        <v>0</v>
      </c>
      <c r="W207" s="131">
        <f>IF(NFI_Expiration=1,IF($A207&lt;VLOOKUP(L$5,NFI,5,0),1,0)*Data_NFI_t[[#This Row],[Mosquito net]],0)</f>
        <v>0</v>
      </c>
      <c r="X207" s="131">
        <f>IF(NFI_Expiration=1,IF($A207&lt;VLOOKUP(M$5,NFI,5,0),1,0)*Data_NFI_t[[#This Row],[Tarpaulin]],0)</f>
        <v>0</v>
      </c>
      <c r="Y207" s="131">
        <f>IF(NFI_Expiration=1,IF($A207&lt;VLOOKUP(N$5,NFI,5,0),1,0)*Data_NFI_t[[#This Row],[Blanket]],0)</f>
        <v>0</v>
      </c>
      <c r="Z207" s="131">
        <f>IF(NFI_Expiration=1,IF($A207&lt;VLOOKUP(O$5,NFI,5,0),1,0)*Data_NFI_t[[#This Row],[Kitchen Set]],0)</f>
        <v>0</v>
      </c>
      <c r="AA207" s="131">
        <f>IF(NFI_Expiration=1,IF($A207&lt;VLOOKUP(P$5,NFI,5,0),1,0)*Data_NFI_t[[#This Row],[Complementary Kit]],0)</f>
        <v>0</v>
      </c>
      <c r="AB207" s="131">
        <f>IF(NFI_Expiration=1,IF($A207&lt;VLOOKUP(Q$5,NFI,5,0),1,0)*Data_NFI_t[[#This Row],[Plastic Bucket]],0)</f>
        <v>0</v>
      </c>
      <c r="AC207" s="131">
        <f>IF(NFI_Expiration=1,IF($A207&lt;VLOOKUP(R$5,NFI,5,0),1,0)*Data_NFI_t[[#This Row],[Jerry Can]],0)</f>
        <v>0</v>
      </c>
      <c r="AD207" s="150">
        <f>IF(NFI_Expiration=1,IF($A207&lt;VLOOKUP(S$5,NFI,5,0),1,0)*Data_NFI_t[[#This Row],[Plastic Mat]],0)*IF(Data_NFI_t[[#This Row],[Distribution Date]]&gt;"01-04-2014",1,2.5)</f>
        <v>0</v>
      </c>
      <c r="AE207" s="150" t="str">
        <f ca="1">IFERROR(OFFSET(Camp_List[P_Code],MATCH(Data_NFI_t[[#This Row],[Camp Name]],Camp_List[Camp Name],0)-1,0,1,1),"")</f>
        <v>MMR012CMP008</v>
      </c>
      <c r="AF207" s="714" t="str">
        <f ca="1">IFERROR(OFFSET(Camp_List[Status],MATCH(Data_NFI_t[[#This Row],[Camp Name]],Camp_List[Camp Name],0)-1,0,1,1),"")</f>
        <v>Open</v>
      </c>
    </row>
    <row r="208" spans="1:32" s="102" customFormat="1" ht="15" customHeight="1" x14ac:dyDescent="0.25">
      <c r="A208" s="265">
        <f t="shared" si="3"/>
        <v>33.966666666666669</v>
      </c>
      <c r="B208" s="265">
        <f>YEAR(Data_NFI_t[[#This Row],[Distribution Date]])</f>
        <v>2013</v>
      </c>
      <c r="C208" s="738">
        <v>41320</v>
      </c>
      <c r="D208" s="655" t="s">
        <v>290</v>
      </c>
      <c r="E208" s="654"/>
      <c r="F208" s="655" t="s">
        <v>7</v>
      </c>
      <c r="G208" s="31" t="s">
        <v>11</v>
      </c>
      <c r="H208" s="31" t="s">
        <v>27</v>
      </c>
      <c r="I208" s="31">
        <v>90</v>
      </c>
      <c r="J208" s="61"/>
      <c r="K208" s="61"/>
      <c r="L208" s="61"/>
      <c r="M208" s="61"/>
      <c r="N208" s="61"/>
      <c r="O208" s="61"/>
      <c r="P208" s="61"/>
      <c r="Q208" s="61"/>
      <c r="R208" s="708"/>
      <c r="S208" s="61"/>
      <c r="T208" s="150">
        <f>IF(NFI_Expiration=1,IF($A208&lt;VLOOKUP(I$5,NFI,5,0),1,0)*Data_NFI_t[[#This Row],[Hygiene Kit]],0)</f>
        <v>0</v>
      </c>
      <c r="U208" s="150">
        <f>IF(NFI_Expiration=1,IF($A208&lt;VLOOKUP(J$5,NFI,5,0),1,0)*Data_NFI_t[[#This Row],[NFI Core Kit]],0)</f>
        <v>0</v>
      </c>
      <c r="V208" s="131">
        <f>IF(NFI_Expiration=1,IF($A208&lt;VLOOKUP(K$5,NFI,5,0),1,0)*Data_NFI_t[[#This Row],[Sanitary Kit]],0)</f>
        <v>0</v>
      </c>
      <c r="W208" s="131">
        <f>IF(NFI_Expiration=1,IF($A208&lt;VLOOKUP(L$5,NFI,5,0),1,0)*Data_NFI_t[[#This Row],[Mosquito net]],0)</f>
        <v>0</v>
      </c>
      <c r="X208" s="131">
        <f>IF(NFI_Expiration=1,IF($A208&lt;VLOOKUP(M$5,NFI,5,0),1,0)*Data_NFI_t[[#This Row],[Tarpaulin]],0)</f>
        <v>0</v>
      </c>
      <c r="Y208" s="131">
        <f>IF(NFI_Expiration=1,IF($A208&lt;VLOOKUP(N$5,NFI,5,0),1,0)*Data_NFI_t[[#This Row],[Blanket]],0)</f>
        <v>0</v>
      </c>
      <c r="Z208" s="131">
        <f>IF(NFI_Expiration=1,IF($A208&lt;VLOOKUP(O$5,NFI,5,0),1,0)*Data_NFI_t[[#This Row],[Kitchen Set]],0)</f>
        <v>0</v>
      </c>
      <c r="AA208" s="131">
        <f>IF(NFI_Expiration=1,IF($A208&lt;VLOOKUP(P$5,NFI,5,0),1,0)*Data_NFI_t[[#This Row],[Complementary Kit]],0)</f>
        <v>0</v>
      </c>
      <c r="AB208" s="131">
        <f>IF(NFI_Expiration=1,IF($A208&lt;VLOOKUP(Q$5,NFI,5,0),1,0)*Data_NFI_t[[#This Row],[Plastic Bucket]],0)</f>
        <v>0</v>
      </c>
      <c r="AC208" s="131">
        <f>IF(NFI_Expiration=1,IF($A208&lt;VLOOKUP(R$5,NFI,5,0),1,0)*Data_NFI_t[[#This Row],[Jerry Can]],0)</f>
        <v>0</v>
      </c>
      <c r="AD208" s="150">
        <f>IF(NFI_Expiration=1,IF($A208&lt;VLOOKUP(S$5,NFI,5,0),1,0)*Data_NFI_t[[#This Row],[Plastic Mat]],0)*IF(Data_NFI_t[[#This Row],[Distribution Date]]&gt;"01-04-2014",1,2.5)</f>
        <v>0</v>
      </c>
      <c r="AE208" s="150" t="str">
        <f ca="1">IFERROR(OFFSET(Camp_List[P_Code],MATCH(Data_NFI_t[[#This Row],[Camp Name]],Camp_List[Camp Name],0)-1,0,1,1),"")</f>
        <v>MMR012CMP003</v>
      </c>
      <c r="AF208" s="714" t="str">
        <f ca="1">IFERROR(OFFSET(Camp_List[Status],MATCH(Data_NFI_t[[#This Row],[Camp Name]],Camp_List[Camp Name],0)-1,0,1,1),"")</f>
        <v>Open</v>
      </c>
    </row>
    <row r="209" spans="1:32" s="102" customFormat="1" ht="15" customHeight="1" x14ac:dyDescent="0.25">
      <c r="A209" s="265">
        <f t="shared" si="3"/>
        <v>33.966666666666669</v>
      </c>
      <c r="B209" s="265">
        <f>YEAR(Data_NFI_t[[#This Row],[Distribution Date]])</f>
        <v>2013</v>
      </c>
      <c r="C209" s="738">
        <v>41320</v>
      </c>
      <c r="D209" s="655" t="s">
        <v>290</v>
      </c>
      <c r="E209" s="654"/>
      <c r="F209" s="655" t="s">
        <v>7</v>
      </c>
      <c r="G209" s="31" t="s">
        <v>11</v>
      </c>
      <c r="H209" s="31" t="s">
        <v>26</v>
      </c>
      <c r="I209" s="31">
        <v>205</v>
      </c>
      <c r="J209" s="61"/>
      <c r="K209" s="61"/>
      <c r="L209" s="61"/>
      <c r="M209" s="61"/>
      <c r="N209" s="61"/>
      <c r="O209" s="61"/>
      <c r="P209" s="61"/>
      <c r="Q209" s="61"/>
      <c r="R209" s="708"/>
      <c r="S209" s="61"/>
      <c r="T209" s="150">
        <f>IF(NFI_Expiration=1,IF($A209&lt;VLOOKUP(I$5,NFI,5,0),1,0)*Data_NFI_t[[#This Row],[Hygiene Kit]],0)</f>
        <v>0</v>
      </c>
      <c r="U209" s="150">
        <f>IF(NFI_Expiration=1,IF($A209&lt;VLOOKUP(J$5,NFI,5,0),1,0)*Data_NFI_t[[#This Row],[NFI Core Kit]],0)</f>
        <v>0</v>
      </c>
      <c r="V209" s="131">
        <f>IF(NFI_Expiration=1,IF($A209&lt;VLOOKUP(K$5,NFI,5,0),1,0)*Data_NFI_t[[#This Row],[Sanitary Kit]],0)</f>
        <v>0</v>
      </c>
      <c r="W209" s="131">
        <f>IF(NFI_Expiration=1,IF($A209&lt;VLOOKUP(L$5,NFI,5,0),1,0)*Data_NFI_t[[#This Row],[Mosquito net]],0)</f>
        <v>0</v>
      </c>
      <c r="X209" s="131">
        <f>IF(NFI_Expiration=1,IF($A209&lt;VLOOKUP(M$5,NFI,5,0),1,0)*Data_NFI_t[[#This Row],[Tarpaulin]],0)</f>
        <v>0</v>
      </c>
      <c r="Y209" s="131">
        <f>IF(NFI_Expiration=1,IF($A209&lt;VLOOKUP(N$5,NFI,5,0),1,0)*Data_NFI_t[[#This Row],[Blanket]],0)</f>
        <v>0</v>
      </c>
      <c r="Z209" s="131">
        <f>IF(NFI_Expiration=1,IF($A209&lt;VLOOKUP(O$5,NFI,5,0),1,0)*Data_NFI_t[[#This Row],[Kitchen Set]],0)</f>
        <v>0</v>
      </c>
      <c r="AA209" s="131">
        <f>IF(NFI_Expiration=1,IF($A209&lt;VLOOKUP(P$5,NFI,5,0),1,0)*Data_NFI_t[[#This Row],[Complementary Kit]],0)</f>
        <v>0</v>
      </c>
      <c r="AB209" s="131">
        <f>IF(NFI_Expiration=1,IF($A209&lt;VLOOKUP(Q$5,NFI,5,0),1,0)*Data_NFI_t[[#This Row],[Plastic Bucket]],0)</f>
        <v>0</v>
      </c>
      <c r="AC209" s="131">
        <f>IF(NFI_Expiration=1,IF($A209&lt;VLOOKUP(R$5,NFI,5,0),1,0)*Data_NFI_t[[#This Row],[Jerry Can]],0)</f>
        <v>0</v>
      </c>
      <c r="AD209" s="150">
        <f>IF(NFI_Expiration=1,IF($A209&lt;VLOOKUP(S$5,NFI,5,0),1,0)*Data_NFI_t[[#This Row],[Plastic Mat]],0)*IF(Data_NFI_t[[#This Row],[Distribution Date]]&gt;"01-04-2014",1,2.5)</f>
        <v>0</v>
      </c>
      <c r="AE209" s="150" t="str">
        <f ca="1">IFERROR(OFFSET(Camp_List[P_Code],MATCH(Data_NFI_t[[#This Row],[Camp Name]],Camp_List[Camp Name],0)-1,0,1,1),"")</f>
        <v>MMR012CMP002</v>
      </c>
      <c r="AF209" s="714" t="str">
        <f ca="1">IFERROR(OFFSET(Camp_List[Status],MATCH(Data_NFI_t[[#This Row],[Camp Name]],Camp_List[Camp Name],0)-1,0,1,1),"")</f>
        <v>Open</v>
      </c>
    </row>
    <row r="210" spans="1:32" s="102" customFormat="1" ht="15" customHeight="1" x14ac:dyDescent="0.25">
      <c r="A210" s="265">
        <f t="shared" si="3"/>
        <v>33.966666666666669</v>
      </c>
      <c r="B210" s="265">
        <f>YEAR(Data_NFI_t[[#This Row],[Distribution Date]])</f>
        <v>2013</v>
      </c>
      <c r="C210" s="738">
        <v>41320</v>
      </c>
      <c r="D210" s="655" t="s">
        <v>290</v>
      </c>
      <c r="E210" s="654"/>
      <c r="F210" s="655" t="s">
        <v>7</v>
      </c>
      <c r="G210" s="31" t="s">
        <v>11</v>
      </c>
      <c r="H210" s="31" t="s">
        <v>31</v>
      </c>
      <c r="I210" s="31">
        <v>35</v>
      </c>
      <c r="J210" s="61"/>
      <c r="K210" s="61"/>
      <c r="L210" s="61"/>
      <c r="M210" s="61"/>
      <c r="N210" s="61"/>
      <c r="O210" s="61"/>
      <c r="P210" s="61"/>
      <c r="Q210" s="61"/>
      <c r="R210" s="708"/>
      <c r="S210" s="61"/>
      <c r="T210" s="150">
        <f>IF(NFI_Expiration=1,IF($A210&lt;VLOOKUP(I$5,NFI,5,0),1,0)*Data_NFI_t[[#This Row],[Hygiene Kit]],0)</f>
        <v>0</v>
      </c>
      <c r="U210" s="150">
        <f>IF(NFI_Expiration=1,IF($A210&lt;VLOOKUP(J$5,NFI,5,0),1,0)*Data_NFI_t[[#This Row],[NFI Core Kit]],0)</f>
        <v>0</v>
      </c>
      <c r="V210" s="131">
        <f>IF(NFI_Expiration=1,IF($A210&lt;VLOOKUP(K$5,NFI,5,0),1,0)*Data_NFI_t[[#This Row],[Sanitary Kit]],0)</f>
        <v>0</v>
      </c>
      <c r="W210" s="131">
        <f>IF(NFI_Expiration=1,IF($A210&lt;VLOOKUP(L$5,NFI,5,0),1,0)*Data_NFI_t[[#This Row],[Mosquito net]],0)</f>
        <v>0</v>
      </c>
      <c r="X210" s="131">
        <f>IF(NFI_Expiration=1,IF($A210&lt;VLOOKUP(M$5,NFI,5,0),1,0)*Data_NFI_t[[#This Row],[Tarpaulin]],0)</f>
        <v>0</v>
      </c>
      <c r="Y210" s="131">
        <f>IF(NFI_Expiration=1,IF($A210&lt;VLOOKUP(N$5,NFI,5,0),1,0)*Data_NFI_t[[#This Row],[Blanket]],0)</f>
        <v>0</v>
      </c>
      <c r="Z210" s="131">
        <f>IF(NFI_Expiration=1,IF($A210&lt;VLOOKUP(O$5,NFI,5,0),1,0)*Data_NFI_t[[#This Row],[Kitchen Set]],0)</f>
        <v>0</v>
      </c>
      <c r="AA210" s="131">
        <f>IF(NFI_Expiration=1,IF($A210&lt;VLOOKUP(P$5,NFI,5,0),1,0)*Data_NFI_t[[#This Row],[Complementary Kit]],0)</f>
        <v>0</v>
      </c>
      <c r="AB210" s="131">
        <f>IF(NFI_Expiration=1,IF($A210&lt;VLOOKUP(Q$5,NFI,5,0),1,0)*Data_NFI_t[[#This Row],[Plastic Bucket]],0)</f>
        <v>0</v>
      </c>
      <c r="AC210" s="131">
        <f>IF(NFI_Expiration=1,IF($A210&lt;VLOOKUP(R$5,NFI,5,0),1,0)*Data_NFI_t[[#This Row],[Jerry Can]],0)</f>
        <v>0</v>
      </c>
      <c r="AD210" s="150">
        <f>IF(NFI_Expiration=1,IF($A210&lt;VLOOKUP(S$5,NFI,5,0),1,0)*Data_NFI_t[[#This Row],[Plastic Mat]],0)*IF(Data_NFI_t[[#This Row],[Distribution Date]]&gt;"01-04-2014",1,2.5)</f>
        <v>0</v>
      </c>
      <c r="AE210" s="150" t="str">
        <f ca="1">IFERROR(OFFSET(Camp_List[P_Code],MATCH(Data_NFI_t[[#This Row],[Camp Name]],Camp_List[Camp Name],0)-1,0,1,1),"")</f>
        <v>MMR012CMP007</v>
      </c>
      <c r="AF210" s="714" t="str">
        <f ca="1">IFERROR(OFFSET(Camp_List[Status],MATCH(Data_NFI_t[[#This Row],[Camp Name]],Camp_List[Camp Name],0)-1,0,1,1),"")</f>
        <v>Close</v>
      </c>
    </row>
    <row r="211" spans="1:32" s="102" customFormat="1" ht="15" customHeight="1" x14ac:dyDescent="0.25">
      <c r="A211" s="265">
        <f t="shared" si="3"/>
        <v>33.966666666666669</v>
      </c>
      <c r="B211" s="265">
        <f>YEAR(Data_NFI_t[[#This Row],[Distribution Date]])</f>
        <v>2013</v>
      </c>
      <c r="C211" s="738">
        <v>41320</v>
      </c>
      <c r="D211" s="655" t="s">
        <v>290</v>
      </c>
      <c r="E211" s="654"/>
      <c r="F211" s="655" t="s">
        <v>7</v>
      </c>
      <c r="G211" s="31" t="s">
        <v>12</v>
      </c>
      <c r="H211" s="31" t="s">
        <v>34</v>
      </c>
      <c r="I211" s="31">
        <v>360</v>
      </c>
      <c r="J211" s="61"/>
      <c r="K211" s="61"/>
      <c r="L211" s="61"/>
      <c r="M211" s="61"/>
      <c r="N211" s="61"/>
      <c r="O211" s="61"/>
      <c r="P211" s="61"/>
      <c r="Q211" s="61"/>
      <c r="R211" s="708"/>
      <c r="S211" s="61"/>
      <c r="T211" s="150">
        <f>IF(NFI_Expiration=1,IF($A211&lt;VLOOKUP(I$5,NFI,5,0),1,0)*Data_NFI_t[[#This Row],[Hygiene Kit]],0)</f>
        <v>0</v>
      </c>
      <c r="U211" s="150">
        <f>IF(NFI_Expiration=1,IF($A211&lt;VLOOKUP(J$5,NFI,5,0),1,0)*Data_NFI_t[[#This Row],[NFI Core Kit]],0)</f>
        <v>0</v>
      </c>
      <c r="V211" s="131">
        <f>IF(NFI_Expiration=1,IF($A211&lt;VLOOKUP(K$5,NFI,5,0),1,0)*Data_NFI_t[[#This Row],[Sanitary Kit]],0)</f>
        <v>0</v>
      </c>
      <c r="W211" s="131">
        <f>IF(NFI_Expiration=1,IF($A211&lt;VLOOKUP(L$5,NFI,5,0),1,0)*Data_NFI_t[[#This Row],[Mosquito net]],0)</f>
        <v>0</v>
      </c>
      <c r="X211" s="131">
        <f>IF(NFI_Expiration=1,IF($A211&lt;VLOOKUP(M$5,NFI,5,0),1,0)*Data_NFI_t[[#This Row],[Tarpaulin]],0)</f>
        <v>0</v>
      </c>
      <c r="Y211" s="131">
        <f>IF(NFI_Expiration=1,IF($A211&lt;VLOOKUP(N$5,NFI,5,0),1,0)*Data_NFI_t[[#This Row],[Blanket]],0)</f>
        <v>0</v>
      </c>
      <c r="Z211" s="131">
        <f>IF(NFI_Expiration=1,IF($A211&lt;VLOOKUP(O$5,NFI,5,0),1,0)*Data_NFI_t[[#This Row],[Kitchen Set]],0)</f>
        <v>0</v>
      </c>
      <c r="AA211" s="131">
        <f>IF(NFI_Expiration=1,IF($A211&lt;VLOOKUP(P$5,NFI,5,0),1,0)*Data_NFI_t[[#This Row],[Complementary Kit]],0)</f>
        <v>0</v>
      </c>
      <c r="AB211" s="131">
        <f>IF(NFI_Expiration=1,IF($A211&lt;VLOOKUP(Q$5,NFI,5,0),1,0)*Data_NFI_t[[#This Row],[Plastic Bucket]],0)</f>
        <v>0</v>
      </c>
      <c r="AC211" s="131">
        <f>IF(NFI_Expiration=1,IF($A211&lt;VLOOKUP(R$5,NFI,5,0),1,0)*Data_NFI_t[[#This Row],[Jerry Can]],0)</f>
        <v>0</v>
      </c>
      <c r="AD211" s="150">
        <f>IF(NFI_Expiration=1,IF($A211&lt;VLOOKUP(S$5,NFI,5,0),1,0)*Data_NFI_t[[#This Row],[Plastic Mat]],0)*IF(Data_NFI_t[[#This Row],[Distribution Date]]&gt;"01-04-2014",1,2.5)</f>
        <v>0</v>
      </c>
      <c r="AE211" s="150" t="str">
        <f ca="1">IFERROR(OFFSET(Camp_List[P_Code],MATCH(Data_NFI_t[[#This Row],[Camp Name]],Camp_List[Camp Name],0)-1,0,1,1),"")</f>
        <v>MMR012CMP010</v>
      </c>
      <c r="AF211" s="714" t="str">
        <f ca="1">IFERROR(OFFSET(Camp_List[Status],MATCH(Data_NFI_t[[#This Row],[Camp Name]],Camp_List[Camp Name],0)-1,0,1,1),"")</f>
        <v>Open</v>
      </c>
    </row>
    <row r="212" spans="1:32" s="102" customFormat="1" ht="15" customHeight="1" x14ac:dyDescent="0.25">
      <c r="A212" s="265">
        <f t="shared" si="3"/>
        <v>34</v>
      </c>
      <c r="B212" s="265">
        <f>YEAR(Data_NFI_t[[#This Row],[Distribution Date]])</f>
        <v>2013</v>
      </c>
      <c r="C212" s="738">
        <v>41319</v>
      </c>
      <c r="D212" s="655" t="s">
        <v>288</v>
      </c>
      <c r="E212" s="654"/>
      <c r="F212" s="655" t="s">
        <v>7</v>
      </c>
      <c r="G212" s="31" t="s">
        <v>20</v>
      </c>
      <c r="H212" s="31" t="s">
        <v>107</v>
      </c>
      <c r="I212" s="31"/>
      <c r="J212" s="61">
        <v>20</v>
      </c>
      <c r="K212" s="61"/>
      <c r="L212" s="61">
        <v>40</v>
      </c>
      <c r="M212" s="61">
        <v>20</v>
      </c>
      <c r="N212" s="61">
        <v>40</v>
      </c>
      <c r="O212" s="61">
        <v>20</v>
      </c>
      <c r="P212" s="61">
        <v>20</v>
      </c>
      <c r="Q212" s="61">
        <v>20</v>
      </c>
      <c r="R212" s="708"/>
      <c r="S212" s="61">
        <v>40</v>
      </c>
      <c r="T212" s="150">
        <f>IF(NFI_Expiration=1,IF($A212&lt;VLOOKUP(I$5,NFI,5,0),1,0)*Data_NFI_t[[#This Row],[Hygiene Kit]],0)</f>
        <v>0</v>
      </c>
      <c r="U212" s="150">
        <f>IF(NFI_Expiration=1,IF($A212&lt;VLOOKUP(J$5,NFI,5,0),1,0)*Data_NFI_t[[#This Row],[NFI Core Kit]],0)</f>
        <v>0</v>
      </c>
      <c r="V212" s="131">
        <f>IF(NFI_Expiration=1,IF($A212&lt;VLOOKUP(K$5,NFI,5,0),1,0)*Data_NFI_t[[#This Row],[Sanitary Kit]],0)</f>
        <v>0</v>
      </c>
      <c r="W212" s="131">
        <f>IF(NFI_Expiration=1,IF($A212&lt;VLOOKUP(L$5,NFI,5,0),1,0)*Data_NFI_t[[#This Row],[Mosquito net]],0)</f>
        <v>0</v>
      </c>
      <c r="X212" s="131">
        <f>IF(NFI_Expiration=1,IF($A212&lt;VLOOKUP(M$5,NFI,5,0),1,0)*Data_NFI_t[[#This Row],[Tarpaulin]],0)</f>
        <v>0</v>
      </c>
      <c r="Y212" s="131">
        <f>IF(NFI_Expiration=1,IF($A212&lt;VLOOKUP(N$5,NFI,5,0),1,0)*Data_NFI_t[[#This Row],[Blanket]],0)</f>
        <v>0</v>
      </c>
      <c r="Z212" s="131">
        <f>IF(NFI_Expiration=1,IF($A212&lt;VLOOKUP(O$5,NFI,5,0),1,0)*Data_NFI_t[[#This Row],[Kitchen Set]],0)</f>
        <v>0</v>
      </c>
      <c r="AA212" s="131">
        <f>IF(NFI_Expiration=1,IF($A212&lt;VLOOKUP(P$5,NFI,5,0),1,0)*Data_NFI_t[[#This Row],[Complementary Kit]],0)</f>
        <v>0</v>
      </c>
      <c r="AB212" s="131">
        <f>IF(NFI_Expiration=1,IF($A212&lt;VLOOKUP(Q$5,NFI,5,0),1,0)*Data_NFI_t[[#This Row],[Plastic Bucket]],0)</f>
        <v>0</v>
      </c>
      <c r="AC212" s="131">
        <f>IF(NFI_Expiration=1,IF($A212&lt;VLOOKUP(R$5,NFI,5,0),1,0)*Data_NFI_t[[#This Row],[Jerry Can]],0)</f>
        <v>0</v>
      </c>
      <c r="AD212" s="150">
        <f>IF(NFI_Expiration=1,IF($A212&lt;VLOOKUP(S$5,NFI,5,0),1,0)*Data_NFI_t[[#This Row],[Plastic Mat]],0)*IF(Data_NFI_t[[#This Row],[Distribution Date]]&gt;"01-04-2014",1,2.5)</f>
        <v>0</v>
      </c>
      <c r="AE212" s="150" t="str">
        <f ca="1">IFERROR(OFFSET(Camp_List[P_Code],MATCH(Data_NFI_t[[#This Row],[Camp Name]],Camp_List[Camp Name],0)-1,0,1,1),"")</f>
        <v>MMR012CMP085</v>
      </c>
      <c r="AF212" s="714" t="str">
        <f ca="1">IFERROR(OFFSET(Camp_List[Status],MATCH(Data_NFI_t[[#This Row],[Camp Name]],Camp_List[Camp Name],0)-1,0,1,1),"")</f>
        <v>Open</v>
      </c>
    </row>
    <row r="213" spans="1:32" s="102" customFormat="1" ht="15" customHeight="1" x14ac:dyDescent="0.25">
      <c r="A213" s="265">
        <f t="shared" si="3"/>
        <v>34</v>
      </c>
      <c r="B213" s="265">
        <f>YEAR(Data_NFI_t[[#This Row],[Distribution Date]])</f>
        <v>2013</v>
      </c>
      <c r="C213" s="738">
        <v>41319</v>
      </c>
      <c r="D213" s="655" t="s">
        <v>288</v>
      </c>
      <c r="E213" s="654"/>
      <c r="F213" s="655" t="s">
        <v>7</v>
      </c>
      <c r="G213" s="31" t="s">
        <v>20</v>
      </c>
      <c r="H213" s="31" t="s">
        <v>107</v>
      </c>
      <c r="I213" s="31"/>
      <c r="J213" s="61"/>
      <c r="K213" s="61">
        <v>40</v>
      </c>
      <c r="L213" s="61">
        <v>81</v>
      </c>
      <c r="M213" s="61">
        <v>20</v>
      </c>
      <c r="N213" s="61"/>
      <c r="O213" s="61"/>
      <c r="P213" s="61"/>
      <c r="Q213" s="61"/>
      <c r="R213" s="708"/>
      <c r="S213" s="61"/>
      <c r="T213" s="150">
        <f>IF(NFI_Expiration=1,IF($A213&lt;VLOOKUP(I$5,NFI,5,0),1,0)*Data_NFI_t[[#This Row],[Hygiene Kit]],0)</f>
        <v>0</v>
      </c>
      <c r="U213" s="150">
        <f>IF(NFI_Expiration=1,IF($A213&lt;VLOOKUP(J$5,NFI,5,0),1,0)*Data_NFI_t[[#This Row],[NFI Core Kit]],0)</f>
        <v>0</v>
      </c>
      <c r="V213" s="131">
        <f>IF(NFI_Expiration=1,IF($A213&lt;VLOOKUP(K$5,NFI,5,0),1,0)*Data_NFI_t[[#This Row],[Sanitary Kit]],0)</f>
        <v>0</v>
      </c>
      <c r="W213" s="131">
        <f>IF(NFI_Expiration=1,IF($A213&lt;VLOOKUP(L$5,NFI,5,0),1,0)*Data_NFI_t[[#This Row],[Mosquito net]],0)</f>
        <v>0</v>
      </c>
      <c r="X213" s="131">
        <f>IF(NFI_Expiration=1,IF($A213&lt;VLOOKUP(M$5,NFI,5,0),1,0)*Data_NFI_t[[#This Row],[Tarpaulin]],0)</f>
        <v>0</v>
      </c>
      <c r="Y213" s="131">
        <f>IF(NFI_Expiration=1,IF($A213&lt;VLOOKUP(N$5,NFI,5,0),1,0)*Data_NFI_t[[#This Row],[Blanket]],0)</f>
        <v>0</v>
      </c>
      <c r="Z213" s="131">
        <f>IF(NFI_Expiration=1,IF($A213&lt;VLOOKUP(O$5,NFI,5,0),1,0)*Data_NFI_t[[#This Row],[Kitchen Set]],0)</f>
        <v>0</v>
      </c>
      <c r="AA213" s="131">
        <f>IF(NFI_Expiration=1,IF($A213&lt;VLOOKUP(P$5,NFI,5,0),1,0)*Data_NFI_t[[#This Row],[Complementary Kit]],0)</f>
        <v>0</v>
      </c>
      <c r="AB213" s="131">
        <f>IF(NFI_Expiration=1,IF($A213&lt;VLOOKUP(Q$5,NFI,5,0),1,0)*Data_NFI_t[[#This Row],[Plastic Bucket]],0)</f>
        <v>0</v>
      </c>
      <c r="AC213" s="131">
        <f>IF(NFI_Expiration=1,IF($A213&lt;VLOOKUP(R$5,NFI,5,0),1,0)*Data_NFI_t[[#This Row],[Jerry Can]],0)</f>
        <v>0</v>
      </c>
      <c r="AD213" s="150">
        <f>IF(NFI_Expiration=1,IF($A213&lt;VLOOKUP(S$5,NFI,5,0),1,0)*Data_NFI_t[[#This Row],[Plastic Mat]],0)*IF(Data_NFI_t[[#This Row],[Distribution Date]]&gt;"01-04-2014",1,2.5)</f>
        <v>0</v>
      </c>
      <c r="AE213" s="150" t="str">
        <f ca="1">IFERROR(OFFSET(Camp_List[P_Code],MATCH(Data_NFI_t[[#This Row],[Camp Name]],Camp_List[Camp Name],0)-1,0,1,1),"")</f>
        <v>MMR012CMP085</v>
      </c>
      <c r="AF213" s="714" t="str">
        <f ca="1">IFERROR(OFFSET(Camp_List[Status],MATCH(Data_NFI_t[[#This Row],[Camp Name]],Camp_List[Camp Name],0)-1,0,1,1),"")</f>
        <v>Open</v>
      </c>
    </row>
    <row r="214" spans="1:32" s="102" customFormat="1" ht="15" customHeight="1" x14ac:dyDescent="0.25">
      <c r="A214" s="265">
        <f t="shared" si="3"/>
        <v>34.200000000000003</v>
      </c>
      <c r="B214" s="265">
        <f>YEAR(Data_NFI_t[[#This Row],[Distribution Date]])</f>
        <v>2013</v>
      </c>
      <c r="C214" s="738">
        <v>41313</v>
      </c>
      <c r="D214" s="655" t="s">
        <v>290</v>
      </c>
      <c r="E214" s="654"/>
      <c r="F214" s="655" t="s">
        <v>7</v>
      </c>
      <c r="G214" s="31" t="s">
        <v>17</v>
      </c>
      <c r="H214" s="31" t="s">
        <v>484</v>
      </c>
      <c r="I214" s="31">
        <v>71</v>
      </c>
      <c r="J214" s="61"/>
      <c r="K214" s="61"/>
      <c r="L214" s="61"/>
      <c r="M214" s="61"/>
      <c r="N214" s="61"/>
      <c r="O214" s="61"/>
      <c r="P214" s="61"/>
      <c r="Q214" s="61"/>
      <c r="R214" s="708"/>
      <c r="S214" s="61"/>
      <c r="T214" s="150">
        <f>IF(NFI_Expiration=1,IF($A214&lt;VLOOKUP(I$5,NFI,5,0),1,0)*Data_NFI_t[[#This Row],[Hygiene Kit]],0)</f>
        <v>0</v>
      </c>
      <c r="U214" s="150">
        <f>IF(NFI_Expiration=1,IF($A214&lt;VLOOKUP(J$5,NFI,5,0),1,0)*Data_NFI_t[[#This Row],[NFI Core Kit]],0)</f>
        <v>0</v>
      </c>
      <c r="V214" s="131">
        <f>IF(NFI_Expiration=1,IF($A214&lt;VLOOKUP(K$5,NFI,5,0),1,0)*Data_NFI_t[[#This Row],[Sanitary Kit]],0)</f>
        <v>0</v>
      </c>
      <c r="W214" s="131">
        <f>IF(NFI_Expiration=1,IF($A214&lt;VLOOKUP(L$5,NFI,5,0),1,0)*Data_NFI_t[[#This Row],[Mosquito net]],0)</f>
        <v>0</v>
      </c>
      <c r="X214" s="131">
        <f>IF(NFI_Expiration=1,IF($A214&lt;VLOOKUP(M$5,NFI,5,0),1,0)*Data_NFI_t[[#This Row],[Tarpaulin]],0)</f>
        <v>0</v>
      </c>
      <c r="Y214" s="131">
        <f>IF(NFI_Expiration=1,IF($A214&lt;VLOOKUP(N$5,NFI,5,0),1,0)*Data_NFI_t[[#This Row],[Blanket]],0)</f>
        <v>0</v>
      </c>
      <c r="Z214" s="131">
        <f>IF(NFI_Expiration=1,IF($A214&lt;VLOOKUP(O$5,NFI,5,0),1,0)*Data_NFI_t[[#This Row],[Kitchen Set]],0)</f>
        <v>0</v>
      </c>
      <c r="AA214" s="131">
        <f>IF(NFI_Expiration=1,IF($A214&lt;VLOOKUP(P$5,NFI,5,0),1,0)*Data_NFI_t[[#This Row],[Complementary Kit]],0)</f>
        <v>0</v>
      </c>
      <c r="AB214" s="131">
        <f>IF(NFI_Expiration=1,IF($A214&lt;VLOOKUP(Q$5,NFI,5,0),1,0)*Data_NFI_t[[#This Row],[Plastic Bucket]],0)</f>
        <v>0</v>
      </c>
      <c r="AC214" s="131">
        <f>IF(NFI_Expiration=1,IF($A214&lt;VLOOKUP(R$5,NFI,5,0),1,0)*Data_NFI_t[[#This Row],[Jerry Can]],0)</f>
        <v>0</v>
      </c>
      <c r="AD214" s="150">
        <f>IF(NFI_Expiration=1,IF($A214&lt;VLOOKUP(S$5,NFI,5,0),1,0)*Data_NFI_t[[#This Row],[Plastic Mat]],0)*IF(Data_NFI_t[[#This Row],[Distribution Date]]&gt;"01-04-2014",1,2.5)</f>
        <v>0</v>
      </c>
      <c r="AE214" s="150" t="str">
        <f ca="1">IFERROR(OFFSET(Camp_List[P_Code],MATCH(Data_NFI_t[[#This Row],[Camp Name]],Camp_List[Camp Name],0)-1,0,1,1),"")</f>
        <v>MMR012CMP036</v>
      </c>
      <c r="AF214" s="714" t="str">
        <f ca="1">IFERROR(OFFSET(Camp_List[Status],MATCH(Data_NFI_t[[#This Row],[Camp Name]],Camp_List[Camp Name],0)-1,0,1,1),"")</f>
        <v>Open</v>
      </c>
    </row>
    <row r="215" spans="1:32" s="102" customFormat="1" ht="15" customHeight="1" x14ac:dyDescent="0.25">
      <c r="A215" s="265">
        <f t="shared" si="3"/>
        <v>34.200000000000003</v>
      </c>
      <c r="B215" s="265">
        <f>YEAR(Data_NFI_t[[#This Row],[Distribution Date]])</f>
        <v>2013</v>
      </c>
      <c r="C215" s="738">
        <v>41313</v>
      </c>
      <c r="D215" s="655" t="s">
        <v>290</v>
      </c>
      <c r="E215" s="654"/>
      <c r="F215" s="655" t="s">
        <v>7</v>
      </c>
      <c r="G215" s="31" t="s">
        <v>915</v>
      </c>
      <c r="H215" s="31" t="s">
        <v>37</v>
      </c>
      <c r="I215" s="31">
        <v>45</v>
      </c>
      <c r="J215" s="61"/>
      <c r="K215" s="61"/>
      <c r="L215" s="61"/>
      <c r="M215" s="61"/>
      <c r="N215" s="61"/>
      <c r="O215" s="61"/>
      <c r="P215" s="61"/>
      <c r="Q215" s="61"/>
      <c r="R215" s="708"/>
      <c r="S215" s="61"/>
      <c r="T215" s="150">
        <f>IF(NFI_Expiration=1,IF($A215&lt;VLOOKUP(I$5,NFI,5,0),1,0)*Data_NFI_t[[#This Row],[Hygiene Kit]],0)</f>
        <v>0</v>
      </c>
      <c r="U215" s="150">
        <f>IF(NFI_Expiration=1,IF($A215&lt;VLOOKUP(J$5,NFI,5,0),1,0)*Data_NFI_t[[#This Row],[NFI Core Kit]],0)</f>
        <v>0</v>
      </c>
      <c r="V215" s="131">
        <f>IF(NFI_Expiration=1,IF($A215&lt;VLOOKUP(K$5,NFI,5,0),1,0)*Data_NFI_t[[#This Row],[Sanitary Kit]],0)</f>
        <v>0</v>
      </c>
      <c r="W215" s="131">
        <f>IF(NFI_Expiration=1,IF($A215&lt;VLOOKUP(L$5,NFI,5,0),1,0)*Data_NFI_t[[#This Row],[Mosquito net]],0)</f>
        <v>0</v>
      </c>
      <c r="X215" s="131">
        <f>IF(NFI_Expiration=1,IF($A215&lt;VLOOKUP(M$5,NFI,5,0),1,0)*Data_NFI_t[[#This Row],[Tarpaulin]],0)</f>
        <v>0</v>
      </c>
      <c r="Y215" s="131">
        <f>IF(NFI_Expiration=1,IF($A215&lt;VLOOKUP(N$5,NFI,5,0),1,0)*Data_NFI_t[[#This Row],[Blanket]],0)</f>
        <v>0</v>
      </c>
      <c r="Z215" s="131">
        <f>IF(NFI_Expiration=1,IF($A215&lt;VLOOKUP(O$5,NFI,5,0),1,0)*Data_NFI_t[[#This Row],[Kitchen Set]],0)</f>
        <v>0</v>
      </c>
      <c r="AA215" s="131">
        <f>IF(NFI_Expiration=1,IF($A215&lt;VLOOKUP(P$5,NFI,5,0),1,0)*Data_NFI_t[[#This Row],[Complementary Kit]],0)</f>
        <v>0</v>
      </c>
      <c r="AB215" s="131">
        <f>IF(NFI_Expiration=1,IF($A215&lt;VLOOKUP(Q$5,NFI,5,0),1,0)*Data_NFI_t[[#This Row],[Plastic Bucket]],0)</f>
        <v>0</v>
      </c>
      <c r="AC215" s="131">
        <f>IF(NFI_Expiration=1,IF($A215&lt;VLOOKUP(R$5,NFI,5,0),1,0)*Data_NFI_t[[#This Row],[Jerry Can]],0)</f>
        <v>0</v>
      </c>
      <c r="AD215" s="150">
        <f>IF(NFI_Expiration=1,IF($A215&lt;VLOOKUP(S$5,NFI,5,0),1,0)*Data_NFI_t[[#This Row],[Plastic Mat]],0)*IF(Data_NFI_t[[#This Row],[Distribution Date]]&gt;"01-04-2014",1,2.5)</f>
        <v>0</v>
      </c>
      <c r="AE215" s="150" t="str">
        <f ca="1">IFERROR(OFFSET(Camp_List[P_Code],MATCH(Data_NFI_t[[#This Row],[Camp Name]],Camp_List[Camp Name],0)-1,0,1,1),"")</f>
        <v>MMR012CMP013</v>
      </c>
      <c r="AF215" s="714" t="str">
        <f ca="1">IFERROR(OFFSET(Camp_List[Status],MATCH(Data_NFI_t[[#This Row],[Camp Name]],Camp_List[Camp Name],0)-1,0,1,1),"")</f>
        <v>Open</v>
      </c>
    </row>
    <row r="216" spans="1:32" s="102" customFormat="1" ht="15" customHeight="1" x14ac:dyDescent="0.25">
      <c r="A216" s="265">
        <f t="shared" si="3"/>
        <v>34.200000000000003</v>
      </c>
      <c r="B216" s="265">
        <f>YEAR(Data_NFI_t[[#This Row],[Distribution Date]])</f>
        <v>2013</v>
      </c>
      <c r="C216" s="738">
        <v>41313</v>
      </c>
      <c r="D216" s="655" t="s">
        <v>290</v>
      </c>
      <c r="E216" s="654"/>
      <c r="F216" s="655" t="s">
        <v>7</v>
      </c>
      <c r="G216" s="31" t="s">
        <v>17</v>
      </c>
      <c r="H216" s="31" t="s">
        <v>58</v>
      </c>
      <c r="I216" s="31">
        <v>418</v>
      </c>
      <c r="J216" s="61"/>
      <c r="K216" s="61"/>
      <c r="L216" s="61"/>
      <c r="M216" s="61"/>
      <c r="N216" s="61"/>
      <c r="O216" s="61"/>
      <c r="P216" s="61"/>
      <c r="Q216" s="61"/>
      <c r="R216" s="708"/>
      <c r="S216" s="61"/>
      <c r="T216" s="150">
        <f>IF(NFI_Expiration=1,IF($A216&lt;VLOOKUP(I$5,NFI,5,0),1,0)*Data_NFI_t[[#This Row],[Hygiene Kit]],0)</f>
        <v>0</v>
      </c>
      <c r="U216" s="150">
        <f>IF(NFI_Expiration=1,IF($A216&lt;VLOOKUP(J$5,NFI,5,0),1,0)*Data_NFI_t[[#This Row],[NFI Core Kit]],0)</f>
        <v>0</v>
      </c>
      <c r="V216" s="131">
        <f>IF(NFI_Expiration=1,IF($A216&lt;VLOOKUP(K$5,NFI,5,0),1,0)*Data_NFI_t[[#This Row],[Sanitary Kit]],0)</f>
        <v>0</v>
      </c>
      <c r="W216" s="131">
        <f>IF(NFI_Expiration=1,IF($A216&lt;VLOOKUP(L$5,NFI,5,0),1,0)*Data_NFI_t[[#This Row],[Mosquito net]],0)</f>
        <v>0</v>
      </c>
      <c r="X216" s="131">
        <f>IF(NFI_Expiration=1,IF($A216&lt;VLOOKUP(M$5,NFI,5,0),1,0)*Data_NFI_t[[#This Row],[Tarpaulin]],0)</f>
        <v>0</v>
      </c>
      <c r="Y216" s="131">
        <f>IF(NFI_Expiration=1,IF($A216&lt;VLOOKUP(N$5,NFI,5,0),1,0)*Data_NFI_t[[#This Row],[Blanket]],0)</f>
        <v>0</v>
      </c>
      <c r="Z216" s="131">
        <f>IF(NFI_Expiration=1,IF($A216&lt;VLOOKUP(O$5,NFI,5,0),1,0)*Data_NFI_t[[#This Row],[Kitchen Set]],0)</f>
        <v>0</v>
      </c>
      <c r="AA216" s="131">
        <f>IF(NFI_Expiration=1,IF($A216&lt;VLOOKUP(P$5,NFI,5,0),1,0)*Data_NFI_t[[#This Row],[Complementary Kit]],0)</f>
        <v>0</v>
      </c>
      <c r="AB216" s="131">
        <f>IF(NFI_Expiration=1,IF($A216&lt;VLOOKUP(Q$5,NFI,5,0),1,0)*Data_NFI_t[[#This Row],[Plastic Bucket]],0)</f>
        <v>0</v>
      </c>
      <c r="AC216" s="131">
        <f>IF(NFI_Expiration=1,IF($A216&lt;VLOOKUP(R$5,NFI,5,0),1,0)*Data_NFI_t[[#This Row],[Jerry Can]],0)</f>
        <v>0</v>
      </c>
      <c r="AD216" s="150">
        <f>IF(NFI_Expiration=1,IF($A216&lt;VLOOKUP(S$5,NFI,5,0),1,0)*Data_NFI_t[[#This Row],[Plastic Mat]],0)*IF(Data_NFI_t[[#This Row],[Distribution Date]]&gt;"01-04-2014",1,2.5)</f>
        <v>0</v>
      </c>
      <c r="AE216" s="150" t="str">
        <f ca="1">IFERROR(OFFSET(Camp_List[P_Code],MATCH(Data_NFI_t[[#This Row],[Camp Name]],Camp_List[Camp Name],0)-1,0,1,1),"")</f>
        <v>MMR012CMP035</v>
      </c>
      <c r="AF216" s="714" t="str">
        <f ca="1">IFERROR(OFFSET(Camp_List[Status],MATCH(Data_NFI_t[[#This Row],[Camp Name]],Camp_List[Camp Name],0)-1,0,1,1),"")</f>
        <v>Open</v>
      </c>
    </row>
    <row r="217" spans="1:32" s="102" customFormat="1" ht="15" customHeight="1" x14ac:dyDescent="0.25">
      <c r="A217" s="265">
        <f t="shared" si="3"/>
        <v>34.200000000000003</v>
      </c>
      <c r="B217" s="265">
        <f>YEAR(Data_NFI_t[[#This Row],[Distribution Date]])</f>
        <v>2013</v>
      </c>
      <c r="C217" s="738">
        <v>41313</v>
      </c>
      <c r="D217" s="655" t="s">
        <v>290</v>
      </c>
      <c r="E217" s="654"/>
      <c r="F217" s="655" t="s">
        <v>7</v>
      </c>
      <c r="G217" s="31" t="s">
        <v>18</v>
      </c>
      <c r="H217" s="31" t="s">
        <v>60</v>
      </c>
      <c r="I217" s="31">
        <v>24</v>
      </c>
      <c r="J217" s="61"/>
      <c r="K217" s="61"/>
      <c r="L217" s="61"/>
      <c r="M217" s="61"/>
      <c r="N217" s="61"/>
      <c r="O217" s="61"/>
      <c r="P217" s="61"/>
      <c r="Q217" s="61"/>
      <c r="R217" s="708"/>
      <c r="S217" s="61"/>
      <c r="T217" s="150">
        <f>IF(NFI_Expiration=1,IF($A217&lt;VLOOKUP(I$5,NFI,5,0),1,0)*Data_NFI_t[[#This Row],[Hygiene Kit]],0)</f>
        <v>0</v>
      </c>
      <c r="U217" s="150">
        <f>IF(NFI_Expiration=1,IF($A217&lt;VLOOKUP(J$5,NFI,5,0),1,0)*Data_NFI_t[[#This Row],[NFI Core Kit]],0)</f>
        <v>0</v>
      </c>
      <c r="V217" s="131">
        <f>IF(NFI_Expiration=1,IF($A217&lt;VLOOKUP(K$5,NFI,5,0),1,0)*Data_NFI_t[[#This Row],[Sanitary Kit]],0)</f>
        <v>0</v>
      </c>
      <c r="W217" s="131">
        <f>IF(NFI_Expiration=1,IF($A217&lt;VLOOKUP(L$5,NFI,5,0),1,0)*Data_NFI_t[[#This Row],[Mosquito net]],0)</f>
        <v>0</v>
      </c>
      <c r="X217" s="131">
        <f>IF(NFI_Expiration=1,IF($A217&lt;VLOOKUP(M$5,NFI,5,0),1,0)*Data_NFI_t[[#This Row],[Tarpaulin]],0)</f>
        <v>0</v>
      </c>
      <c r="Y217" s="131">
        <f>IF(NFI_Expiration=1,IF($A217&lt;VLOOKUP(N$5,NFI,5,0),1,0)*Data_NFI_t[[#This Row],[Blanket]],0)</f>
        <v>0</v>
      </c>
      <c r="Z217" s="131">
        <f>IF(NFI_Expiration=1,IF($A217&lt;VLOOKUP(O$5,NFI,5,0),1,0)*Data_NFI_t[[#This Row],[Kitchen Set]],0)</f>
        <v>0</v>
      </c>
      <c r="AA217" s="131">
        <f>IF(NFI_Expiration=1,IF($A217&lt;VLOOKUP(P$5,NFI,5,0),1,0)*Data_NFI_t[[#This Row],[Complementary Kit]],0)</f>
        <v>0</v>
      </c>
      <c r="AB217" s="131">
        <f>IF(NFI_Expiration=1,IF($A217&lt;VLOOKUP(Q$5,NFI,5,0),1,0)*Data_NFI_t[[#This Row],[Plastic Bucket]],0)</f>
        <v>0</v>
      </c>
      <c r="AC217" s="131">
        <f>IF(NFI_Expiration=1,IF($A217&lt;VLOOKUP(R$5,NFI,5,0),1,0)*Data_NFI_t[[#This Row],[Jerry Can]],0)</f>
        <v>0</v>
      </c>
      <c r="AD217" s="150">
        <f>IF(NFI_Expiration=1,IF($A217&lt;VLOOKUP(S$5,NFI,5,0),1,0)*Data_NFI_t[[#This Row],[Plastic Mat]],0)*IF(Data_NFI_t[[#This Row],[Distribution Date]]&gt;"01-04-2014",1,2.5)</f>
        <v>0</v>
      </c>
      <c r="AE217" s="150" t="str">
        <f ca="1">IFERROR(OFFSET(Camp_List[P_Code],MATCH(Data_NFI_t[[#This Row],[Camp Name]],Camp_List[Camp Name],0)-1,0,1,1),"")</f>
        <v>MMR012CMP038</v>
      </c>
      <c r="AF217" s="714" t="str">
        <f ca="1">IFERROR(OFFSET(Camp_List[Status],MATCH(Data_NFI_t[[#This Row],[Camp Name]],Camp_List[Camp Name],0)-1,0,1,1),"")</f>
        <v>Open</v>
      </c>
    </row>
    <row r="218" spans="1:32" s="102" customFormat="1" ht="15" customHeight="1" x14ac:dyDescent="0.25">
      <c r="A218" s="265">
        <f t="shared" si="3"/>
        <v>34.200000000000003</v>
      </c>
      <c r="B218" s="265">
        <f>YEAR(Data_NFI_t[[#This Row],[Distribution Date]])</f>
        <v>2013</v>
      </c>
      <c r="C218" s="738">
        <v>41313</v>
      </c>
      <c r="D218" s="655" t="s">
        <v>290</v>
      </c>
      <c r="E218" s="654"/>
      <c r="F218" s="655" t="s">
        <v>7</v>
      </c>
      <c r="G218" s="31" t="s">
        <v>18</v>
      </c>
      <c r="H218" s="31" t="s">
        <v>59</v>
      </c>
      <c r="I218" s="31">
        <v>97</v>
      </c>
      <c r="J218" s="61"/>
      <c r="K218" s="61"/>
      <c r="L218" s="61"/>
      <c r="M218" s="61"/>
      <c r="N218" s="61"/>
      <c r="O218" s="61"/>
      <c r="P218" s="61"/>
      <c r="Q218" s="61"/>
      <c r="R218" s="708"/>
      <c r="S218" s="61"/>
      <c r="T218" s="150">
        <f>IF(NFI_Expiration=1,IF($A218&lt;VLOOKUP(I$5,NFI,5,0),1,0)*Data_NFI_t[[#This Row],[Hygiene Kit]],0)</f>
        <v>0</v>
      </c>
      <c r="U218" s="150">
        <f>IF(NFI_Expiration=1,IF($A218&lt;VLOOKUP(J$5,NFI,5,0),1,0)*Data_NFI_t[[#This Row],[NFI Core Kit]],0)</f>
        <v>0</v>
      </c>
      <c r="V218" s="131">
        <f>IF(NFI_Expiration=1,IF($A218&lt;VLOOKUP(K$5,NFI,5,0),1,0)*Data_NFI_t[[#This Row],[Sanitary Kit]],0)</f>
        <v>0</v>
      </c>
      <c r="W218" s="131">
        <f>IF(NFI_Expiration=1,IF($A218&lt;VLOOKUP(L$5,NFI,5,0),1,0)*Data_NFI_t[[#This Row],[Mosquito net]],0)</f>
        <v>0</v>
      </c>
      <c r="X218" s="131">
        <f>IF(NFI_Expiration=1,IF($A218&lt;VLOOKUP(M$5,NFI,5,0),1,0)*Data_NFI_t[[#This Row],[Tarpaulin]],0)</f>
        <v>0</v>
      </c>
      <c r="Y218" s="131">
        <f>IF(NFI_Expiration=1,IF($A218&lt;VLOOKUP(N$5,NFI,5,0),1,0)*Data_NFI_t[[#This Row],[Blanket]],0)</f>
        <v>0</v>
      </c>
      <c r="Z218" s="131">
        <f>IF(NFI_Expiration=1,IF($A218&lt;VLOOKUP(O$5,NFI,5,0),1,0)*Data_NFI_t[[#This Row],[Kitchen Set]],0)</f>
        <v>0</v>
      </c>
      <c r="AA218" s="131">
        <f>IF(NFI_Expiration=1,IF($A218&lt;VLOOKUP(P$5,NFI,5,0),1,0)*Data_NFI_t[[#This Row],[Complementary Kit]],0)</f>
        <v>0</v>
      </c>
      <c r="AB218" s="131">
        <f>IF(NFI_Expiration=1,IF($A218&lt;VLOOKUP(Q$5,NFI,5,0),1,0)*Data_NFI_t[[#This Row],[Plastic Bucket]],0)</f>
        <v>0</v>
      </c>
      <c r="AC218" s="131">
        <f>IF(NFI_Expiration=1,IF($A218&lt;VLOOKUP(R$5,NFI,5,0),1,0)*Data_NFI_t[[#This Row],[Jerry Can]],0)</f>
        <v>0</v>
      </c>
      <c r="AD218" s="150">
        <f>IF(NFI_Expiration=1,IF($A218&lt;VLOOKUP(S$5,NFI,5,0),1,0)*Data_NFI_t[[#This Row],[Plastic Mat]],0)*IF(Data_NFI_t[[#This Row],[Distribution Date]]&gt;"01-04-2014",1,2.5)</f>
        <v>0</v>
      </c>
      <c r="AE218" s="150" t="str">
        <f ca="1">IFERROR(OFFSET(Camp_List[P_Code],MATCH(Data_NFI_t[[#This Row],[Camp Name]],Camp_List[Camp Name],0)-1,0,1,1),"")</f>
        <v>MMR012CMP037</v>
      </c>
      <c r="AF218" s="714" t="str">
        <f ca="1">IFERROR(OFFSET(Camp_List[Status],MATCH(Data_NFI_t[[#This Row],[Camp Name]],Camp_List[Camp Name],0)-1,0,1,1),"")</f>
        <v>Open</v>
      </c>
    </row>
    <row r="219" spans="1:32" s="102" customFormat="1" ht="15" customHeight="1" x14ac:dyDescent="0.25">
      <c r="A219" s="265">
        <f t="shared" si="3"/>
        <v>34.200000000000003</v>
      </c>
      <c r="B219" s="265">
        <f>YEAR(Data_NFI_t[[#This Row],[Distribution Date]])</f>
        <v>2013</v>
      </c>
      <c r="C219" s="738">
        <v>41313</v>
      </c>
      <c r="D219" s="655" t="s">
        <v>290</v>
      </c>
      <c r="E219" s="654"/>
      <c r="F219" s="655" t="s">
        <v>7</v>
      </c>
      <c r="G219" s="31" t="s">
        <v>915</v>
      </c>
      <c r="H219" s="31" t="s">
        <v>38</v>
      </c>
      <c r="I219" s="31">
        <v>705</v>
      </c>
      <c r="J219" s="61"/>
      <c r="K219" s="61"/>
      <c r="L219" s="61"/>
      <c r="M219" s="61"/>
      <c r="N219" s="61"/>
      <c r="O219" s="61"/>
      <c r="P219" s="61"/>
      <c r="Q219" s="61"/>
      <c r="R219" s="708"/>
      <c r="S219" s="61"/>
      <c r="T219" s="150">
        <f>IF(NFI_Expiration=1,IF($A219&lt;VLOOKUP(I$5,NFI,5,0),1,0)*Data_NFI_t[[#This Row],[Hygiene Kit]],0)</f>
        <v>0</v>
      </c>
      <c r="U219" s="150">
        <f>IF(NFI_Expiration=1,IF($A219&lt;VLOOKUP(J$5,NFI,5,0),1,0)*Data_NFI_t[[#This Row],[NFI Core Kit]],0)</f>
        <v>0</v>
      </c>
      <c r="V219" s="131">
        <f>IF(NFI_Expiration=1,IF($A219&lt;VLOOKUP(K$5,NFI,5,0),1,0)*Data_NFI_t[[#This Row],[Sanitary Kit]],0)</f>
        <v>0</v>
      </c>
      <c r="W219" s="131">
        <f>IF(NFI_Expiration=1,IF($A219&lt;VLOOKUP(L$5,NFI,5,0),1,0)*Data_NFI_t[[#This Row],[Mosquito net]],0)</f>
        <v>0</v>
      </c>
      <c r="X219" s="131">
        <f>IF(NFI_Expiration=1,IF($A219&lt;VLOOKUP(M$5,NFI,5,0),1,0)*Data_NFI_t[[#This Row],[Tarpaulin]],0)</f>
        <v>0</v>
      </c>
      <c r="Y219" s="131">
        <f>IF(NFI_Expiration=1,IF($A219&lt;VLOOKUP(N$5,NFI,5,0),1,0)*Data_NFI_t[[#This Row],[Blanket]],0)</f>
        <v>0</v>
      </c>
      <c r="Z219" s="131">
        <f>IF(NFI_Expiration=1,IF($A219&lt;VLOOKUP(O$5,NFI,5,0),1,0)*Data_NFI_t[[#This Row],[Kitchen Set]],0)</f>
        <v>0</v>
      </c>
      <c r="AA219" s="131">
        <f>IF(NFI_Expiration=1,IF($A219&lt;VLOOKUP(P$5,NFI,5,0),1,0)*Data_NFI_t[[#This Row],[Complementary Kit]],0)</f>
        <v>0</v>
      </c>
      <c r="AB219" s="131">
        <f>IF(NFI_Expiration=1,IF($A219&lt;VLOOKUP(Q$5,NFI,5,0),1,0)*Data_NFI_t[[#This Row],[Plastic Bucket]],0)</f>
        <v>0</v>
      </c>
      <c r="AC219" s="131">
        <f>IF(NFI_Expiration=1,IF($A219&lt;VLOOKUP(R$5,NFI,5,0),1,0)*Data_NFI_t[[#This Row],[Jerry Can]],0)</f>
        <v>0</v>
      </c>
      <c r="AD219" s="150">
        <f>IF(NFI_Expiration=1,IF($A219&lt;VLOOKUP(S$5,NFI,5,0),1,0)*Data_NFI_t[[#This Row],[Plastic Mat]],0)*IF(Data_NFI_t[[#This Row],[Distribution Date]]&gt;"01-04-2014",1,2.5)</f>
        <v>0</v>
      </c>
      <c r="AE219" s="150" t="str">
        <f ca="1">IFERROR(OFFSET(Camp_List[P_Code],MATCH(Data_NFI_t[[#This Row],[Camp Name]],Camp_List[Camp Name],0)-1,0,1,1),"")</f>
        <v>MMR012CMP014</v>
      </c>
      <c r="AF219" s="714" t="str">
        <f ca="1">IFERROR(OFFSET(Camp_List[Status],MATCH(Data_NFI_t[[#This Row],[Camp Name]],Camp_List[Camp Name],0)-1,0,1,1),"")</f>
        <v>Open</v>
      </c>
    </row>
    <row r="220" spans="1:32" s="102" customFormat="1" ht="15" customHeight="1" x14ac:dyDescent="0.25">
      <c r="A220" s="265">
        <f t="shared" si="3"/>
        <v>34.43333333333333</v>
      </c>
      <c r="B220" s="265">
        <f>YEAR(Data_NFI_t[[#This Row],[Distribution Date]])</f>
        <v>2013</v>
      </c>
      <c r="C220" s="738">
        <v>41306</v>
      </c>
      <c r="D220" s="655" t="s">
        <v>526</v>
      </c>
      <c r="E220" s="654" t="s">
        <v>526</v>
      </c>
      <c r="F220" s="655" t="s">
        <v>7</v>
      </c>
      <c r="G220" s="31" t="s">
        <v>14</v>
      </c>
      <c r="H220" s="31" t="s">
        <v>40</v>
      </c>
      <c r="I220" s="31">
        <v>803</v>
      </c>
      <c r="J220" s="61"/>
      <c r="K220" s="61"/>
      <c r="L220" s="61"/>
      <c r="M220" s="61"/>
      <c r="N220" s="61"/>
      <c r="O220" s="61"/>
      <c r="P220" s="61"/>
      <c r="Q220" s="61"/>
      <c r="R220" s="708"/>
      <c r="S220" s="61"/>
      <c r="T220" s="150">
        <f>IF(NFI_Expiration=1,IF($A220&lt;VLOOKUP(I$5,NFI,5,0),1,0)*Data_NFI_t[[#This Row],[Hygiene Kit]],0)</f>
        <v>0</v>
      </c>
      <c r="U220" s="150">
        <f>IF(NFI_Expiration=1,IF($A220&lt;VLOOKUP(J$5,NFI,5,0),1,0)*Data_NFI_t[[#This Row],[NFI Core Kit]],0)</f>
        <v>0</v>
      </c>
      <c r="V220" s="131">
        <f>IF(NFI_Expiration=1,IF($A220&lt;VLOOKUP(K$5,NFI,5,0),1,0)*Data_NFI_t[[#This Row],[Sanitary Kit]],0)</f>
        <v>0</v>
      </c>
      <c r="W220" s="131">
        <f>IF(NFI_Expiration=1,IF($A220&lt;VLOOKUP(L$5,NFI,5,0),1,0)*Data_NFI_t[[#This Row],[Mosquito net]],0)</f>
        <v>0</v>
      </c>
      <c r="X220" s="131">
        <f>IF(NFI_Expiration=1,IF($A220&lt;VLOOKUP(M$5,NFI,5,0),1,0)*Data_NFI_t[[#This Row],[Tarpaulin]],0)</f>
        <v>0</v>
      </c>
      <c r="Y220" s="131">
        <f>IF(NFI_Expiration=1,IF($A220&lt;VLOOKUP(N$5,NFI,5,0),1,0)*Data_NFI_t[[#This Row],[Blanket]],0)</f>
        <v>0</v>
      </c>
      <c r="Z220" s="131">
        <f>IF(NFI_Expiration=1,IF($A220&lt;VLOOKUP(O$5,NFI,5,0),1,0)*Data_NFI_t[[#This Row],[Kitchen Set]],0)</f>
        <v>0</v>
      </c>
      <c r="AA220" s="131">
        <f>IF(NFI_Expiration=1,IF($A220&lt;VLOOKUP(P$5,NFI,5,0),1,0)*Data_NFI_t[[#This Row],[Complementary Kit]],0)</f>
        <v>0</v>
      </c>
      <c r="AB220" s="131">
        <f>IF(NFI_Expiration=1,IF($A220&lt;VLOOKUP(Q$5,NFI,5,0),1,0)*Data_NFI_t[[#This Row],[Plastic Bucket]],0)</f>
        <v>0</v>
      </c>
      <c r="AC220" s="131">
        <f>IF(NFI_Expiration=1,IF($A220&lt;VLOOKUP(R$5,NFI,5,0),1,0)*Data_NFI_t[[#This Row],[Jerry Can]],0)</f>
        <v>0</v>
      </c>
      <c r="AD220" s="150">
        <f>IF(NFI_Expiration=1,IF($A220&lt;VLOOKUP(S$5,NFI,5,0),1,0)*Data_NFI_t[[#This Row],[Plastic Mat]],0)*IF(Data_NFI_t[[#This Row],[Distribution Date]]&gt;"01-04-2014",1,2.5)</f>
        <v>0</v>
      </c>
      <c r="AE220" s="150" t="str">
        <f ca="1">IFERROR(OFFSET(Camp_List[P_Code],MATCH(Data_NFI_t[[#This Row],[Camp Name]],Camp_List[Camp Name],0)-1,0,1,1),"")</f>
        <v>MMR012CMP016</v>
      </c>
      <c r="AF220" s="714" t="str">
        <f ca="1">IFERROR(OFFSET(Camp_List[Status],MATCH(Data_NFI_t[[#This Row],[Camp Name]],Camp_List[Camp Name],0)-1,0,1,1),"")</f>
        <v>Open</v>
      </c>
    </row>
    <row r="221" spans="1:32" s="102" customFormat="1" ht="15" customHeight="1" x14ac:dyDescent="0.25">
      <c r="A221" s="265">
        <f t="shared" si="3"/>
        <v>34.43333333333333</v>
      </c>
      <c r="B221" s="265">
        <f>YEAR(Data_NFI_t[[#This Row],[Distribution Date]])</f>
        <v>2013</v>
      </c>
      <c r="C221" s="738">
        <v>41306</v>
      </c>
      <c r="D221" s="655" t="s">
        <v>526</v>
      </c>
      <c r="E221" s="654" t="s">
        <v>526</v>
      </c>
      <c r="F221" s="655" t="s">
        <v>7</v>
      </c>
      <c r="G221" s="31" t="s">
        <v>14</v>
      </c>
      <c r="H221" s="31" t="s">
        <v>42</v>
      </c>
      <c r="I221" s="31">
        <v>858</v>
      </c>
      <c r="J221" s="61"/>
      <c r="K221" s="61"/>
      <c r="L221" s="61"/>
      <c r="M221" s="61"/>
      <c r="N221" s="61"/>
      <c r="O221" s="61"/>
      <c r="P221" s="61"/>
      <c r="Q221" s="61"/>
      <c r="R221" s="708"/>
      <c r="S221" s="61"/>
      <c r="T221" s="150">
        <f>IF(NFI_Expiration=1,IF($A221&lt;VLOOKUP(I$5,NFI,5,0),1,0)*Data_NFI_t[[#This Row],[Hygiene Kit]],0)</f>
        <v>0</v>
      </c>
      <c r="U221" s="150">
        <f>IF(NFI_Expiration=1,IF($A221&lt;VLOOKUP(J$5,NFI,5,0),1,0)*Data_NFI_t[[#This Row],[NFI Core Kit]],0)</f>
        <v>0</v>
      </c>
      <c r="V221" s="131">
        <f>IF(NFI_Expiration=1,IF($A221&lt;VLOOKUP(K$5,NFI,5,0),1,0)*Data_NFI_t[[#This Row],[Sanitary Kit]],0)</f>
        <v>0</v>
      </c>
      <c r="W221" s="131">
        <f>IF(NFI_Expiration=1,IF($A221&lt;VLOOKUP(L$5,NFI,5,0),1,0)*Data_NFI_t[[#This Row],[Mosquito net]],0)</f>
        <v>0</v>
      </c>
      <c r="X221" s="131">
        <f>IF(NFI_Expiration=1,IF($A221&lt;VLOOKUP(M$5,NFI,5,0),1,0)*Data_NFI_t[[#This Row],[Tarpaulin]],0)</f>
        <v>0</v>
      </c>
      <c r="Y221" s="131">
        <f>IF(NFI_Expiration=1,IF($A221&lt;VLOOKUP(N$5,NFI,5,0),1,0)*Data_NFI_t[[#This Row],[Blanket]],0)</f>
        <v>0</v>
      </c>
      <c r="Z221" s="131">
        <f>IF(NFI_Expiration=1,IF($A221&lt;VLOOKUP(O$5,NFI,5,0),1,0)*Data_NFI_t[[#This Row],[Kitchen Set]],0)</f>
        <v>0</v>
      </c>
      <c r="AA221" s="131">
        <f>IF(NFI_Expiration=1,IF($A221&lt;VLOOKUP(P$5,NFI,5,0),1,0)*Data_NFI_t[[#This Row],[Complementary Kit]],0)</f>
        <v>0</v>
      </c>
      <c r="AB221" s="131">
        <f>IF(NFI_Expiration=1,IF($A221&lt;VLOOKUP(Q$5,NFI,5,0),1,0)*Data_NFI_t[[#This Row],[Plastic Bucket]],0)</f>
        <v>0</v>
      </c>
      <c r="AC221" s="131">
        <f>IF(NFI_Expiration=1,IF($A221&lt;VLOOKUP(R$5,NFI,5,0),1,0)*Data_NFI_t[[#This Row],[Jerry Can]],0)</f>
        <v>0</v>
      </c>
      <c r="AD221" s="150">
        <f>IF(NFI_Expiration=1,IF($A221&lt;VLOOKUP(S$5,NFI,5,0),1,0)*Data_NFI_t[[#This Row],[Plastic Mat]],0)*IF(Data_NFI_t[[#This Row],[Distribution Date]]&gt;"01-04-2014",1,2.5)</f>
        <v>0</v>
      </c>
      <c r="AE221" s="150" t="str">
        <f ca="1">IFERROR(OFFSET(Camp_List[P_Code],MATCH(Data_NFI_t[[#This Row],[Camp Name]],Camp_List[Camp Name],0)-1,0,1,1),"")</f>
        <v>MMR012CMP018</v>
      </c>
      <c r="AF221" s="714" t="str">
        <f ca="1">IFERROR(OFFSET(Camp_List[Status],MATCH(Data_NFI_t[[#This Row],[Camp Name]],Camp_List[Camp Name],0)-1,0,1,1),"")</f>
        <v>Open</v>
      </c>
    </row>
    <row r="222" spans="1:32" s="102" customFormat="1" ht="15" customHeight="1" x14ac:dyDescent="0.25">
      <c r="A222" s="265">
        <f t="shared" si="3"/>
        <v>34.5</v>
      </c>
      <c r="B222" s="265">
        <f>YEAR(Data_NFI_t[[#This Row],[Distribution Date]])</f>
        <v>2013</v>
      </c>
      <c r="C222" s="738">
        <v>41304</v>
      </c>
      <c r="D222" s="655" t="s">
        <v>526</v>
      </c>
      <c r="E222" s="654" t="s">
        <v>526</v>
      </c>
      <c r="F222" s="655" t="s">
        <v>7</v>
      </c>
      <c r="G222" s="31" t="s">
        <v>14</v>
      </c>
      <c r="H222" s="31" t="s">
        <v>43</v>
      </c>
      <c r="I222" s="31">
        <v>810</v>
      </c>
      <c r="J222" s="61"/>
      <c r="K222" s="61"/>
      <c r="L222" s="61"/>
      <c r="M222" s="61"/>
      <c r="N222" s="61"/>
      <c r="O222" s="61"/>
      <c r="P222" s="61"/>
      <c r="Q222" s="61"/>
      <c r="R222" s="708"/>
      <c r="S222" s="61"/>
      <c r="T222" s="150">
        <f>IF(NFI_Expiration=1,IF($A222&lt;VLOOKUP(I$5,NFI,5,0),1,0)*Data_NFI_t[[#This Row],[Hygiene Kit]],0)</f>
        <v>0</v>
      </c>
      <c r="U222" s="150">
        <f>IF(NFI_Expiration=1,IF($A222&lt;VLOOKUP(J$5,NFI,5,0),1,0)*Data_NFI_t[[#This Row],[NFI Core Kit]],0)</f>
        <v>0</v>
      </c>
      <c r="V222" s="131">
        <f>IF(NFI_Expiration=1,IF($A222&lt;VLOOKUP(K$5,NFI,5,0),1,0)*Data_NFI_t[[#This Row],[Sanitary Kit]],0)</f>
        <v>0</v>
      </c>
      <c r="W222" s="131">
        <f>IF(NFI_Expiration=1,IF($A222&lt;VLOOKUP(L$5,NFI,5,0),1,0)*Data_NFI_t[[#This Row],[Mosquito net]],0)</f>
        <v>0</v>
      </c>
      <c r="X222" s="131">
        <f>IF(NFI_Expiration=1,IF($A222&lt;VLOOKUP(M$5,NFI,5,0),1,0)*Data_NFI_t[[#This Row],[Tarpaulin]],0)</f>
        <v>0</v>
      </c>
      <c r="Y222" s="131">
        <f>IF(NFI_Expiration=1,IF($A222&lt;VLOOKUP(N$5,NFI,5,0),1,0)*Data_NFI_t[[#This Row],[Blanket]],0)</f>
        <v>0</v>
      </c>
      <c r="Z222" s="131">
        <f>IF(NFI_Expiration=1,IF($A222&lt;VLOOKUP(O$5,NFI,5,0),1,0)*Data_NFI_t[[#This Row],[Kitchen Set]],0)</f>
        <v>0</v>
      </c>
      <c r="AA222" s="131">
        <f>IF(NFI_Expiration=1,IF($A222&lt;VLOOKUP(P$5,NFI,5,0),1,0)*Data_NFI_t[[#This Row],[Complementary Kit]],0)</f>
        <v>0</v>
      </c>
      <c r="AB222" s="131">
        <f>IF(NFI_Expiration=1,IF($A222&lt;VLOOKUP(Q$5,NFI,5,0),1,0)*Data_NFI_t[[#This Row],[Plastic Bucket]],0)</f>
        <v>0</v>
      </c>
      <c r="AC222" s="131">
        <f>IF(NFI_Expiration=1,IF($A222&lt;VLOOKUP(R$5,NFI,5,0),1,0)*Data_NFI_t[[#This Row],[Jerry Can]],0)</f>
        <v>0</v>
      </c>
      <c r="AD222" s="150">
        <f>IF(NFI_Expiration=1,IF($A222&lt;VLOOKUP(S$5,NFI,5,0),1,0)*Data_NFI_t[[#This Row],[Plastic Mat]],0)*IF(Data_NFI_t[[#This Row],[Distribution Date]]&gt;"01-04-2014",1,2.5)</f>
        <v>0</v>
      </c>
      <c r="AE222" s="150" t="str">
        <f ca="1">IFERROR(OFFSET(Camp_List[P_Code],MATCH(Data_NFI_t[[#This Row],[Camp Name]],Camp_List[Camp Name],0)-1,0,1,1),"")</f>
        <v>MMR012CMP019</v>
      </c>
      <c r="AF222" s="714" t="str">
        <f ca="1">IFERROR(OFFSET(Camp_List[Status],MATCH(Data_NFI_t[[#This Row],[Camp Name]],Camp_List[Camp Name],0)-1,0,1,1),"")</f>
        <v>Open</v>
      </c>
    </row>
    <row r="223" spans="1:32" s="102" customFormat="1" ht="15" customHeight="1" x14ac:dyDescent="0.25">
      <c r="A223" s="265">
        <f t="shared" si="3"/>
        <v>34.700000000000003</v>
      </c>
      <c r="B223" s="265">
        <f>YEAR(Data_NFI_t[[#This Row],[Distribution Date]])</f>
        <v>2013</v>
      </c>
      <c r="C223" s="738">
        <v>41298</v>
      </c>
      <c r="D223" s="655" t="s">
        <v>526</v>
      </c>
      <c r="E223" s="654" t="s">
        <v>526</v>
      </c>
      <c r="F223" s="655" t="s">
        <v>7</v>
      </c>
      <c r="G223" s="31" t="s">
        <v>19</v>
      </c>
      <c r="H223" s="31" t="s">
        <v>70</v>
      </c>
      <c r="I223" s="31">
        <v>3100</v>
      </c>
      <c r="J223" s="61"/>
      <c r="K223" s="61"/>
      <c r="L223" s="61"/>
      <c r="M223" s="61"/>
      <c r="N223" s="61"/>
      <c r="O223" s="61"/>
      <c r="P223" s="61"/>
      <c r="Q223" s="61"/>
      <c r="R223" s="708"/>
      <c r="S223" s="61"/>
      <c r="T223" s="150">
        <f>IF(NFI_Expiration=1,IF($A223&lt;VLOOKUP(I$5,NFI,5,0),1,0)*Data_NFI_t[[#This Row],[Hygiene Kit]],0)</f>
        <v>0</v>
      </c>
      <c r="U223" s="150">
        <f>IF(NFI_Expiration=1,IF($A223&lt;VLOOKUP(J$5,NFI,5,0),1,0)*Data_NFI_t[[#This Row],[NFI Core Kit]],0)</f>
        <v>0</v>
      </c>
      <c r="V223" s="131">
        <f>IF(NFI_Expiration=1,IF($A223&lt;VLOOKUP(K$5,NFI,5,0),1,0)*Data_NFI_t[[#This Row],[Sanitary Kit]],0)</f>
        <v>0</v>
      </c>
      <c r="W223" s="131">
        <f>IF(NFI_Expiration=1,IF($A223&lt;VLOOKUP(L$5,NFI,5,0),1,0)*Data_NFI_t[[#This Row],[Mosquito net]],0)</f>
        <v>0</v>
      </c>
      <c r="X223" s="131">
        <f>IF(NFI_Expiration=1,IF($A223&lt;VLOOKUP(M$5,NFI,5,0),1,0)*Data_NFI_t[[#This Row],[Tarpaulin]],0)</f>
        <v>0</v>
      </c>
      <c r="Y223" s="131">
        <f>IF(NFI_Expiration=1,IF($A223&lt;VLOOKUP(N$5,NFI,5,0),1,0)*Data_NFI_t[[#This Row],[Blanket]],0)</f>
        <v>0</v>
      </c>
      <c r="Z223" s="131">
        <f>IF(NFI_Expiration=1,IF($A223&lt;VLOOKUP(O$5,NFI,5,0),1,0)*Data_NFI_t[[#This Row],[Kitchen Set]],0)</f>
        <v>0</v>
      </c>
      <c r="AA223" s="131">
        <f>IF(NFI_Expiration=1,IF($A223&lt;VLOOKUP(P$5,NFI,5,0),1,0)*Data_NFI_t[[#This Row],[Complementary Kit]],0)</f>
        <v>0</v>
      </c>
      <c r="AB223" s="131">
        <f>IF(NFI_Expiration=1,IF($A223&lt;VLOOKUP(Q$5,NFI,5,0),1,0)*Data_NFI_t[[#This Row],[Plastic Bucket]],0)</f>
        <v>0</v>
      </c>
      <c r="AC223" s="131">
        <f>IF(NFI_Expiration=1,IF($A223&lt;VLOOKUP(R$5,NFI,5,0),1,0)*Data_NFI_t[[#This Row],[Jerry Can]],0)</f>
        <v>0</v>
      </c>
      <c r="AD223" s="150">
        <f>IF(NFI_Expiration=1,IF($A223&lt;VLOOKUP(S$5,NFI,5,0),1,0)*Data_NFI_t[[#This Row],[Plastic Mat]],0)*IF(Data_NFI_t[[#This Row],[Distribution Date]]&gt;"01-04-2014",1,2.5)</f>
        <v>0</v>
      </c>
      <c r="AE223" s="150" t="str">
        <f ca="1">IFERROR(OFFSET(Camp_List[P_Code],MATCH(Data_NFI_t[[#This Row],[Camp Name]],Camp_List[Camp Name],0)-1,0,1,1),"")</f>
        <v>MMR012CMP048</v>
      </c>
      <c r="AF223" s="714" t="str">
        <f ca="1">IFERROR(OFFSET(Camp_List[Status],MATCH(Data_NFI_t[[#This Row],[Camp Name]],Camp_List[Camp Name],0)-1,0,1,1),"")</f>
        <v>Open</v>
      </c>
    </row>
    <row r="224" spans="1:32" s="102" customFormat="1" ht="15" customHeight="1" x14ac:dyDescent="0.25">
      <c r="A224" s="265">
        <f t="shared" si="3"/>
        <v>34.799999999999997</v>
      </c>
      <c r="B224" s="265">
        <f>YEAR(Data_NFI_t[[#This Row],[Distribution Date]])</f>
        <v>2013</v>
      </c>
      <c r="C224" s="738">
        <v>41295</v>
      </c>
      <c r="D224" s="655" t="s">
        <v>292</v>
      </c>
      <c r="E224" s="654" t="s">
        <v>288</v>
      </c>
      <c r="F224" s="655" t="s">
        <v>7</v>
      </c>
      <c r="G224" s="31" t="s">
        <v>19</v>
      </c>
      <c r="H224" s="31" t="s">
        <v>247</v>
      </c>
      <c r="I224" s="31"/>
      <c r="J224" s="61"/>
      <c r="K224" s="61"/>
      <c r="L224" s="61"/>
      <c r="M224" s="61"/>
      <c r="N224" s="61">
        <v>38</v>
      </c>
      <c r="O224" s="61"/>
      <c r="P224" s="61"/>
      <c r="Q224" s="61"/>
      <c r="R224" s="708"/>
      <c r="S224" s="61"/>
      <c r="T224" s="150">
        <f>IF(NFI_Expiration=1,IF($A224&lt;VLOOKUP(I$5,NFI,5,0),1,0)*Data_NFI_t[[#This Row],[Hygiene Kit]],0)</f>
        <v>0</v>
      </c>
      <c r="U224" s="150">
        <f>IF(NFI_Expiration=1,IF($A224&lt;VLOOKUP(J$5,NFI,5,0),1,0)*Data_NFI_t[[#This Row],[NFI Core Kit]],0)</f>
        <v>0</v>
      </c>
      <c r="V224" s="131">
        <f>IF(NFI_Expiration=1,IF($A224&lt;VLOOKUP(K$5,NFI,5,0),1,0)*Data_NFI_t[[#This Row],[Sanitary Kit]],0)</f>
        <v>0</v>
      </c>
      <c r="W224" s="131">
        <f>IF(NFI_Expiration=1,IF($A224&lt;VLOOKUP(L$5,NFI,5,0),1,0)*Data_NFI_t[[#This Row],[Mosquito net]],0)</f>
        <v>0</v>
      </c>
      <c r="X224" s="131">
        <f>IF(NFI_Expiration=1,IF($A224&lt;VLOOKUP(M$5,NFI,5,0),1,0)*Data_NFI_t[[#This Row],[Tarpaulin]],0)</f>
        <v>0</v>
      </c>
      <c r="Y224" s="131">
        <f>IF(NFI_Expiration=1,IF($A224&lt;VLOOKUP(N$5,NFI,5,0),1,0)*Data_NFI_t[[#This Row],[Blanket]],0)</f>
        <v>0</v>
      </c>
      <c r="Z224" s="131">
        <f>IF(NFI_Expiration=1,IF($A224&lt;VLOOKUP(O$5,NFI,5,0),1,0)*Data_NFI_t[[#This Row],[Kitchen Set]],0)</f>
        <v>0</v>
      </c>
      <c r="AA224" s="131">
        <f>IF(NFI_Expiration=1,IF($A224&lt;VLOOKUP(P$5,NFI,5,0),1,0)*Data_NFI_t[[#This Row],[Complementary Kit]],0)</f>
        <v>0</v>
      </c>
      <c r="AB224" s="131">
        <f>IF(NFI_Expiration=1,IF($A224&lt;VLOOKUP(Q$5,NFI,5,0),1,0)*Data_NFI_t[[#This Row],[Plastic Bucket]],0)</f>
        <v>0</v>
      </c>
      <c r="AC224" s="131">
        <f>IF(NFI_Expiration=1,IF($A224&lt;VLOOKUP(R$5,NFI,5,0),1,0)*Data_NFI_t[[#This Row],[Jerry Can]],0)</f>
        <v>0</v>
      </c>
      <c r="AD224" s="150">
        <f>IF(NFI_Expiration=1,IF($A224&lt;VLOOKUP(S$5,NFI,5,0),1,0)*Data_NFI_t[[#This Row],[Plastic Mat]],0)*IF(Data_NFI_t[[#This Row],[Distribution Date]]&gt;"01-04-2014",1,2.5)</f>
        <v>0</v>
      </c>
      <c r="AE224" s="150" t="str">
        <f ca="1">IFERROR(OFFSET(Camp_List[P_Code],MATCH(Data_NFI_t[[#This Row],[Camp Name]],Camp_List[Camp Name],0)-1,0,1,1),"")</f>
        <v>MMR012CMP090</v>
      </c>
      <c r="AF224" s="714" t="str">
        <f ca="1">IFERROR(OFFSET(Camp_List[Status],MATCH(Data_NFI_t[[#This Row],[Camp Name]],Camp_List[Camp Name],0)-1,0,1,1),"")</f>
        <v>Close</v>
      </c>
    </row>
    <row r="225" spans="1:32" s="102" customFormat="1" ht="15" customHeight="1" x14ac:dyDescent="0.25">
      <c r="A225" s="265">
        <f t="shared" si="3"/>
        <v>34.9</v>
      </c>
      <c r="B225" s="265">
        <f>YEAR(Data_NFI_t[[#This Row],[Distribution Date]])</f>
        <v>2013</v>
      </c>
      <c r="C225" s="738">
        <v>41292</v>
      </c>
      <c r="D225" s="655" t="s">
        <v>288</v>
      </c>
      <c r="E225" s="654"/>
      <c r="F225" s="655" t="s">
        <v>7</v>
      </c>
      <c r="G225" s="31" t="s">
        <v>20</v>
      </c>
      <c r="H225" s="31" t="s">
        <v>110</v>
      </c>
      <c r="I225" s="31"/>
      <c r="J225" s="61">
        <v>63</v>
      </c>
      <c r="K225" s="61"/>
      <c r="L225" s="61">
        <v>126</v>
      </c>
      <c r="M225" s="61">
        <v>63</v>
      </c>
      <c r="N225" s="61">
        <v>126</v>
      </c>
      <c r="O225" s="61">
        <v>63</v>
      </c>
      <c r="P225" s="61">
        <v>63</v>
      </c>
      <c r="Q225" s="61">
        <v>63</v>
      </c>
      <c r="R225" s="708"/>
      <c r="S225" s="61">
        <v>126</v>
      </c>
      <c r="T225" s="150">
        <f>IF(NFI_Expiration=1,IF($A225&lt;VLOOKUP(I$5,NFI,5,0),1,0)*Data_NFI_t[[#This Row],[Hygiene Kit]],0)</f>
        <v>0</v>
      </c>
      <c r="U225" s="150">
        <f>IF(NFI_Expiration=1,IF($A225&lt;VLOOKUP(J$5,NFI,5,0),1,0)*Data_NFI_t[[#This Row],[NFI Core Kit]],0)</f>
        <v>0</v>
      </c>
      <c r="V225" s="131">
        <f>IF(NFI_Expiration=1,IF($A225&lt;VLOOKUP(K$5,NFI,5,0),1,0)*Data_NFI_t[[#This Row],[Sanitary Kit]],0)</f>
        <v>0</v>
      </c>
      <c r="W225" s="131">
        <f>IF(NFI_Expiration=1,IF($A225&lt;VLOOKUP(L$5,NFI,5,0),1,0)*Data_NFI_t[[#This Row],[Mosquito net]],0)</f>
        <v>0</v>
      </c>
      <c r="X225" s="131">
        <f>IF(NFI_Expiration=1,IF($A225&lt;VLOOKUP(M$5,NFI,5,0),1,0)*Data_NFI_t[[#This Row],[Tarpaulin]],0)</f>
        <v>0</v>
      </c>
      <c r="Y225" s="131">
        <f>IF(NFI_Expiration=1,IF($A225&lt;VLOOKUP(N$5,NFI,5,0),1,0)*Data_NFI_t[[#This Row],[Blanket]],0)</f>
        <v>0</v>
      </c>
      <c r="Z225" s="131">
        <f>IF(NFI_Expiration=1,IF($A225&lt;VLOOKUP(O$5,NFI,5,0),1,0)*Data_NFI_t[[#This Row],[Kitchen Set]],0)</f>
        <v>0</v>
      </c>
      <c r="AA225" s="131">
        <f>IF(NFI_Expiration=1,IF($A225&lt;VLOOKUP(P$5,NFI,5,0),1,0)*Data_NFI_t[[#This Row],[Complementary Kit]],0)</f>
        <v>0</v>
      </c>
      <c r="AB225" s="131">
        <f>IF(NFI_Expiration=1,IF($A225&lt;VLOOKUP(Q$5,NFI,5,0),1,0)*Data_NFI_t[[#This Row],[Plastic Bucket]],0)</f>
        <v>0</v>
      </c>
      <c r="AC225" s="131">
        <f>IF(NFI_Expiration=1,IF($A225&lt;VLOOKUP(R$5,NFI,5,0),1,0)*Data_NFI_t[[#This Row],[Jerry Can]],0)</f>
        <v>0</v>
      </c>
      <c r="AD225" s="150">
        <f>IF(NFI_Expiration=1,IF($A225&lt;VLOOKUP(S$5,NFI,5,0),1,0)*Data_NFI_t[[#This Row],[Plastic Mat]],0)*IF(Data_NFI_t[[#This Row],[Distribution Date]]&gt;"01-04-2014",1,2.5)</f>
        <v>0</v>
      </c>
      <c r="AE225" s="150" t="str">
        <f ca="1">IFERROR(OFFSET(Camp_List[P_Code],MATCH(Data_NFI_t[[#This Row],[Camp Name]],Camp_List[Camp Name],0)-1,0,1,1),"")</f>
        <v>MMR012CMP088</v>
      </c>
      <c r="AF225" s="714" t="str">
        <f ca="1">IFERROR(OFFSET(Camp_List[Status],MATCH(Data_NFI_t[[#This Row],[Camp Name]],Camp_List[Camp Name],0)-1,0,1,1),"")</f>
        <v>Open</v>
      </c>
    </row>
    <row r="226" spans="1:32" s="102" customFormat="1" ht="15" customHeight="1" x14ac:dyDescent="0.25">
      <c r="A226" s="265">
        <f t="shared" si="3"/>
        <v>34.9</v>
      </c>
      <c r="B226" s="265">
        <f>YEAR(Data_NFI_t[[#This Row],[Distribution Date]])</f>
        <v>2013</v>
      </c>
      <c r="C226" s="738">
        <v>41292</v>
      </c>
      <c r="D226" s="655" t="s">
        <v>288</v>
      </c>
      <c r="E226" s="654"/>
      <c r="F226" s="655" t="s">
        <v>7</v>
      </c>
      <c r="G226" s="31" t="s">
        <v>20</v>
      </c>
      <c r="H226" s="31" t="s">
        <v>110</v>
      </c>
      <c r="I226" s="31"/>
      <c r="J226" s="61"/>
      <c r="K226" s="61">
        <v>63</v>
      </c>
      <c r="L226" s="61">
        <v>126</v>
      </c>
      <c r="M226" s="61">
        <v>63</v>
      </c>
      <c r="N226" s="61">
        <v>0</v>
      </c>
      <c r="O226" s="61"/>
      <c r="P226" s="61"/>
      <c r="Q226" s="61"/>
      <c r="R226" s="708"/>
      <c r="S226" s="61"/>
      <c r="T226" s="150">
        <f>IF(NFI_Expiration=1,IF($A226&lt;VLOOKUP(I$5,NFI,5,0),1,0)*Data_NFI_t[[#This Row],[Hygiene Kit]],0)</f>
        <v>0</v>
      </c>
      <c r="U226" s="150">
        <f>IF(NFI_Expiration=1,IF($A226&lt;VLOOKUP(J$5,NFI,5,0),1,0)*Data_NFI_t[[#This Row],[NFI Core Kit]],0)</f>
        <v>0</v>
      </c>
      <c r="V226" s="131">
        <f>IF(NFI_Expiration=1,IF($A226&lt;VLOOKUP(K$5,NFI,5,0),1,0)*Data_NFI_t[[#This Row],[Sanitary Kit]],0)</f>
        <v>0</v>
      </c>
      <c r="W226" s="131">
        <f>IF(NFI_Expiration=1,IF($A226&lt;VLOOKUP(L$5,NFI,5,0),1,0)*Data_NFI_t[[#This Row],[Mosquito net]],0)</f>
        <v>0</v>
      </c>
      <c r="X226" s="131">
        <f>IF(NFI_Expiration=1,IF($A226&lt;VLOOKUP(M$5,NFI,5,0),1,0)*Data_NFI_t[[#This Row],[Tarpaulin]],0)</f>
        <v>0</v>
      </c>
      <c r="Y226" s="131">
        <f>IF(NFI_Expiration=1,IF($A226&lt;VLOOKUP(N$5,NFI,5,0),1,0)*Data_NFI_t[[#This Row],[Blanket]],0)</f>
        <v>0</v>
      </c>
      <c r="Z226" s="131">
        <f>IF(NFI_Expiration=1,IF($A226&lt;VLOOKUP(O$5,NFI,5,0),1,0)*Data_NFI_t[[#This Row],[Kitchen Set]],0)</f>
        <v>0</v>
      </c>
      <c r="AA226" s="131">
        <f>IF(NFI_Expiration=1,IF($A226&lt;VLOOKUP(P$5,NFI,5,0),1,0)*Data_NFI_t[[#This Row],[Complementary Kit]],0)</f>
        <v>0</v>
      </c>
      <c r="AB226" s="131">
        <f>IF(NFI_Expiration=1,IF($A226&lt;VLOOKUP(Q$5,NFI,5,0),1,0)*Data_NFI_t[[#This Row],[Plastic Bucket]],0)</f>
        <v>0</v>
      </c>
      <c r="AC226" s="131">
        <f>IF(NFI_Expiration=1,IF($A226&lt;VLOOKUP(R$5,NFI,5,0),1,0)*Data_NFI_t[[#This Row],[Jerry Can]],0)</f>
        <v>0</v>
      </c>
      <c r="AD226" s="150">
        <f>IF(NFI_Expiration=1,IF($A226&lt;VLOOKUP(S$5,NFI,5,0),1,0)*Data_NFI_t[[#This Row],[Plastic Mat]],0)*IF(Data_NFI_t[[#This Row],[Distribution Date]]&gt;"01-04-2014",1,2.5)</f>
        <v>0</v>
      </c>
      <c r="AE226" s="150" t="str">
        <f ca="1">IFERROR(OFFSET(Camp_List[P_Code],MATCH(Data_NFI_t[[#This Row],[Camp Name]],Camp_List[Camp Name],0)-1,0,1,1),"")</f>
        <v>MMR012CMP088</v>
      </c>
      <c r="AF226" s="714" t="str">
        <f ca="1">IFERROR(OFFSET(Camp_List[Status],MATCH(Data_NFI_t[[#This Row],[Camp Name]],Camp_List[Camp Name],0)-1,0,1,1),"")</f>
        <v>Open</v>
      </c>
    </row>
    <row r="227" spans="1:32" s="102" customFormat="1" ht="15" customHeight="1" x14ac:dyDescent="0.25">
      <c r="A227" s="265">
        <f t="shared" si="3"/>
        <v>34.9</v>
      </c>
      <c r="B227" s="265">
        <f>YEAR(Data_NFI_t[[#This Row],[Distribution Date]])</f>
        <v>2013</v>
      </c>
      <c r="C227" s="738">
        <v>41292</v>
      </c>
      <c r="D227" s="655" t="s">
        <v>292</v>
      </c>
      <c r="E227" s="654" t="s">
        <v>288</v>
      </c>
      <c r="F227" s="655" t="s">
        <v>7</v>
      </c>
      <c r="G227" s="31" t="s">
        <v>19</v>
      </c>
      <c r="H227" s="31" t="s">
        <v>247</v>
      </c>
      <c r="I227" s="31"/>
      <c r="J227" s="61"/>
      <c r="K227" s="61"/>
      <c r="L227" s="61"/>
      <c r="M227" s="61"/>
      <c r="N227" s="61">
        <v>50</v>
      </c>
      <c r="O227" s="61"/>
      <c r="P227" s="61"/>
      <c r="Q227" s="61"/>
      <c r="R227" s="708"/>
      <c r="S227" s="61"/>
      <c r="T227" s="150">
        <f>IF(NFI_Expiration=1,IF($A227&lt;VLOOKUP(I$5,NFI,5,0),1,0)*Data_NFI_t[[#This Row],[Hygiene Kit]],0)</f>
        <v>0</v>
      </c>
      <c r="U227" s="150">
        <f>IF(NFI_Expiration=1,IF($A227&lt;VLOOKUP(J$5,NFI,5,0),1,0)*Data_NFI_t[[#This Row],[NFI Core Kit]],0)</f>
        <v>0</v>
      </c>
      <c r="V227" s="131">
        <f>IF(NFI_Expiration=1,IF($A227&lt;VLOOKUP(K$5,NFI,5,0),1,0)*Data_NFI_t[[#This Row],[Sanitary Kit]],0)</f>
        <v>0</v>
      </c>
      <c r="W227" s="131">
        <f>IF(NFI_Expiration=1,IF($A227&lt;VLOOKUP(L$5,NFI,5,0),1,0)*Data_NFI_t[[#This Row],[Mosquito net]],0)</f>
        <v>0</v>
      </c>
      <c r="X227" s="131">
        <f>IF(NFI_Expiration=1,IF($A227&lt;VLOOKUP(M$5,NFI,5,0),1,0)*Data_NFI_t[[#This Row],[Tarpaulin]],0)</f>
        <v>0</v>
      </c>
      <c r="Y227" s="131">
        <f>IF(NFI_Expiration=1,IF($A227&lt;VLOOKUP(N$5,NFI,5,0),1,0)*Data_NFI_t[[#This Row],[Blanket]],0)</f>
        <v>0</v>
      </c>
      <c r="Z227" s="131">
        <f>IF(NFI_Expiration=1,IF($A227&lt;VLOOKUP(O$5,NFI,5,0),1,0)*Data_NFI_t[[#This Row],[Kitchen Set]],0)</f>
        <v>0</v>
      </c>
      <c r="AA227" s="131">
        <f>IF(NFI_Expiration=1,IF($A227&lt;VLOOKUP(P$5,NFI,5,0),1,0)*Data_NFI_t[[#This Row],[Complementary Kit]],0)</f>
        <v>0</v>
      </c>
      <c r="AB227" s="131">
        <f>IF(NFI_Expiration=1,IF($A227&lt;VLOOKUP(Q$5,NFI,5,0),1,0)*Data_NFI_t[[#This Row],[Plastic Bucket]],0)</f>
        <v>0</v>
      </c>
      <c r="AC227" s="131">
        <f>IF(NFI_Expiration=1,IF($A227&lt;VLOOKUP(R$5,NFI,5,0),1,0)*Data_NFI_t[[#This Row],[Jerry Can]],0)</f>
        <v>0</v>
      </c>
      <c r="AD227" s="150">
        <f>IF(NFI_Expiration=1,IF($A227&lt;VLOOKUP(S$5,NFI,5,0),1,0)*Data_NFI_t[[#This Row],[Plastic Mat]],0)*IF(Data_NFI_t[[#This Row],[Distribution Date]]&gt;"01-04-2014",1,2.5)</f>
        <v>0</v>
      </c>
      <c r="AE227" s="150" t="str">
        <f ca="1">IFERROR(OFFSET(Camp_List[P_Code],MATCH(Data_NFI_t[[#This Row],[Camp Name]],Camp_List[Camp Name],0)-1,0,1,1),"")</f>
        <v>MMR012CMP090</v>
      </c>
      <c r="AF227" s="714" t="str">
        <f ca="1">IFERROR(OFFSET(Camp_List[Status],MATCH(Data_NFI_t[[#This Row],[Camp Name]],Camp_List[Camp Name],0)-1,0,1,1),"")</f>
        <v>Close</v>
      </c>
    </row>
    <row r="228" spans="1:32" s="102" customFormat="1" ht="15" customHeight="1" x14ac:dyDescent="0.25">
      <c r="A228" s="265">
        <f t="shared" si="3"/>
        <v>34.93333333333333</v>
      </c>
      <c r="B228" s="265">
        <f>YEAR(Data_NFI_t[[#This Row],[Distribution Date]])</f>
        <v>2013</v>
      </c>
      <c r="C228" s="738">
        <v>41291</v>
      </c>
      <c r="D228" s="655" t="s">
        <v>292</v>
      </c>
      <c r="E228" s="654" t="s">
        <v>288</v>
      </c>
      <c r="F228" s="655" t="s">
        <v>7</v>
      </c>
      <c r="G228" s="31" t="s">
        <v>19</v>
      </c>
      <c r="H228" s="31" t="s">
        <v>247</v>
      </c>
      <c r="I228" s="31"/>
      <c r="J228" s="61"/>
      <c r="K228" s="61"/>
      <c r="L228" s="61"/>
      <c r="M228" s="61"/>
      <c r="N228" s="61">
        <v>50</v>
      </c>
      <c r="O228" s="61"/>
      <c r="P228" s="61"/>
      <c r="Q228" s="61"/>
      <c r="R228" s="708"/>
      <c r="S228" s="61"/>
      <c r="T228" s="150">
        <f>IF(NFI_Expiration=1,IF($A228&lt;VLOOKUP(I$5,NFI,5,0),1,0)*Data_NFI_t[[#This Row],[Hygiene Kit]],0)</f>
        <v>0</v>
      </c>
      <c r="U228" s="150">
        <f>IF(NFI_Expiration=1,IF($A228&lt;VLOOKUP(J$5,NFI,5,0),1,0)*Data_NFI_t[[#This Row],[NFI Core Kit]],0)</f>
        <v>0</v>
      </c>
      <c r="V228" s="131">
        <f>IF(NFI_Expiration=1,IF($A228&lt;VLOOKUP(K$5,NFI,5,0),1,0)*Data_NFI_t[[#This Row],[Sanitary Kit]],0)</f>
        <v>0</v>
      </c>
      <c r="W228" s="131">
        <f>IF(NFI_Expiration=1,IF($A228&lt;VLOOKUP(L$5,NFI,5,0),1,0)*Data_NFI_t[[#This Row],[Mosquito net]],0)</f>
        <v>0</v>
      </c>
      <c r="X228" s="131">
        <f>IF(NFI_Expiration=1,IF($A228&lt;VLOOKUP(M$5,NFI,5,0),1,0)*Data_NFI_t[[#This Row],[Tarpaulin]],0)</f>
        <v>0</v>
      </c>
      <c r="Y228" s="131">
        <f>IF(NFI_Expiration=1,IF($A228&lt;VLOOKUP(N$5,NFI,5,0),1,0)*Data_NFI_t[[#This Row],[Blanket]],0)</f>
        <v>0</v>
      </c>
      <c r="Z228" s="131">
        <f>IF(NFI_Expiration=1,IF($A228&lt;VLOOKUP(O$5,NFI,5,0),1,0)*Data_NFI_t[[#This Row],[Kitchen Set]],0)</f>
        <v>0</v>
      </c>
      <c r="AA228" s="131">
        <f>IF(NFI_Expiration=1,IF($A228&lt;VLOOKUP(P$5,NFI,5,0),1,0)*Data_NFI_t[[#This Row],[Complementary Kit]],0)</f>
        <v>0</v>
      </c>
      <c r="AB228" s="131">
        <f>IF(NFI_Expiration=1,IF($A228&lt;VLOOKUP(Q$5,NFI,5,0),1,0)*Data_NFI_t[[#This Row],[Plastic Bucket]],0)</f>
        <v>0</v>
      </c>
      <c r="AC228" s="131">
        <f>IF(NFI_Expiration=1,IF($A228&lt;VLOOKUP(R$5,NFI,5,0),1,0)*Data_NFI_t[[#This Row],[Jerry Can]],0)</f>
        <v>0</v>
      </c>
      <c r="AD228" s="150">
        <f>IF(NFI_Expiration=1,IF($A228&lt;VLOOKUP(S$5,NFI,5,0),1,0)*Data_NFI_t[[#This Row],[Plastic Mat]],0)*IF(Data_NFI_t[[#This Row],[Distribution Date]]&gt;"01-04-2014",1,2.5)</f>
        <v>0</v>
      </c>
      <c r="AE228" s="150" t="str">
        <f ca="1">IFERROR(OFFSET(Camp_List[P_Code],MATCH(Data_NFI_t[[#This Row],[Camp Name]],Camp_List[Camp Name],0)-1,0,1,1),"")</f>
        <v>MMR012CMP090</v>
      </c>
      <c r="AF228" s="714" t="str">
        <f ca="1">IFERROR(OFFSET(Camp_List[Status],MATCH(Data_NFI_t[[#This Row],[Camp Name]],Camp_List[Camp Name],0)-1,0,1,1),"")</f>
        <v>Close</v>
      </c>
    </row>
    <row r="229" spans="1:32" s="102" customFormat="1" ht="15" customHeight="1" x14ac:dyDescent="0.25">
      <c r="A229" s="265">
        <f t="shared" si="3"/>
        <v>35.166666666666664</v>
      </c>
      <c r="B229" s="265">
        <f>YEAR(Data_NFI_t[[#This Row],[Distribution Date]])</f>
        <v>2013</v>
      </c>
      <c r="C229" s="738">
        <v>41284</v>
      </c>
      <c r="D229" s="655" t="s">
        <v>288</v>
      </c>
      <c r="E229" s="654"/>
      <c r="F229" s="655" t="s">
        <v>7</v>
      </c>
      <c r="G229" s="31" t="s">
        <v>20</v>
      </c>
      <c r="H229" s="31" t="s">
        <v>109</v>
      </c>
      <c r="I229" s="31"/>
      <c r="J229" s="61">
        <v>56</v>
      </c>
      <c r="K229" s="61"/>
      <c r="L229" s="61">
        <v>112</v>
      </c>
      <c r="M229" s="61">
        <v>56</v>
      </c>
      <c r="N229" s="61">
        <v>112</v>
      </c>
      <c r="O229" s="61">
        <v>56</v>
      </c>
      <c r="P229" s="61">
        <v>56</v>
      </c>
      <c r="Q229" s="61">
        <v>56</v>
      </c>
      <c r="R229" s="708"/>
      <c r="S229" s="61">
        <v>112</v>
      </c>
      <c r="T229" s="150">
        <f>IF(NFI_Expiration=1,IF($A229&lt;VLOOKUP(I$5,NFI,5,0),1,0)*Data_NFI_t[[#This Row],[Hygiene Kit]],0)</f>
        <v>0</v>
      </c>
      <c r="U229" s="150">
        <f>IF(NFI_Expiration=1,IF($A229&lt;VLOOKUP(J$5,NFI,5,0),1,0)*Data_NFI_t[[#This Row],[NFI Core Kit]],0)</f>
        <v>0</v>
      </c>
      <c r="V229" s="131">
        <f>IF(NFI_Expiration=1,IF($A229&lt;VLOOKUP(K$5,NFI,5,0),1,0)*Data_NFI_t[[#This Row],[Sanitary Kit]],0)</f>
        <v>0</v>
      </c>
      <c r="W229" s="131">
        <f>IF(NFI_Expiration=1,IF($A229&lt;VLOOKUP(L$5,NFI,5,0),1,0)*Data_NFI_t[[#This Row],[Mosquito net]],0)</f>
        <v>0</v>
      </c>
      <c r="X229" s="131">
        <f>IF(NFI_Expiration=1,IF($A229&lt;VLOOKUP(M$5,NFI,5,0),1,0)*Data_NFI_t[[#This Row],[Tarpaulin]],0)</f>
        <v>0</v>
      </c>
      <c r="Y229" s="131">
        <f>IF(NFI_Expiration=1,IF($A229&lt;VLOOKUP(N$5,NFI,5,0),1,0)*Data_NFI_t[[#This Row],[Blanket]],0)</f>
        <v>0</v>
      </c>
      <c r="Z229" s="131">
        <f>IF(NFI_Expiration=1,IF($A229&lt;VLOOKUP(O$5,NFI,5,0),1,0)*Data_NFI_t[[#This Row],[Kitchen Set]],0)</f>
        <v>0</v>
      </c>
      <c r="AA229" s="131">
        <f>IF(NFI_Expiration=1,IF($A229&lt;VLOOKUP(P$5,NFI,5,0),1,0)*Data_NFI_t[[#This Row],[Complementary Kit]],0)</f>
        <v>0</v>
      </c>
      <c r="AB229" s="131">
        <f>IF(NFI_Expiration=1,IF($A229&lt;VLOOKUP(Q$5,NFI,5,0),1,0)*Data_NFI_t[[#This Row],[Plastic Bucket]],0)</f>
        <v>0</v>
      </c>
      <c r="AC229" s="131">
        <f>IF(NFI_Expiration=1,IF($A229&lt;VLOOKUP(R$5,NFI,5,0),1,0)*Data_NFI_t[[#This Row],[Jerry Can]],0)</f>
        <v>0</v>
      </c>
      <c r="AD229" s="150">
        <f>IF(NFI_Expiration=1,IF($A229&lt;VLOOKUP(S$5,NFI,5,0),1,0)*Data_NFI_t[[#This Row],[Plastic Mat]],0)*IF(Data_NFI_t[[#This Row],[Distribution Date]]&gt;"01-04-2014",1,2.5)</f>
        <v>0</v>
      </c>
      <c r="AE229" s="150" t="str">
        <f ca="1">IFERROR(OFFSET(Camp_List[P_Code],MATCH(Data_NFI_t[[#This Row],[Camp Name]],Camp_List[Camp Name],0)-1,0,1,1),"")</f>
        <v>MMR012CMP087</v>
      </c>
      <c r="AF229" s="714" t="str">
        <f ca="1">IFERROR(OFFSET(Camp_List[Status],MATCH(Data_NFI_t[[#This Row],[Camp Name]],Camp_List[Camp Name],0)-1,0,1,1),"")</f>
        <v>Close</v>
      </c>
    </row>
    <row r="230" spans="1:32" s="102" customFormat="1" ht="15" customHeight="1" x14ac:dyDescent="0.25">
      <c r="A230" s="265">
        <f t="shared" si="3"/>
        <v>35.166666666666664</v>
      </c>
      <c r="B230" s="265">
        <f>YEAR(Data_NFI_t[[#This Row],[Distribution Date]])</f>
        <v>2013</v>
      </c>
      <c r="C230" s="738">
        <v>41284</v>
      </c>
      <c r="D230" s="655" t="s">
        <v>288</v>
      </c>
      <c r="E230" s="654"/>
      <c r="F230" s="655" t="s">
        <v>7</v>
      </c>
      <c r="G230" s="31" t="s">
        <v>20</v>
      </c>
      <c r="H230" s="31" t="s">
        <v>109</v>
      </c>
      <c r="I230" s="31"/>
      <c r="J230" s="61"/>
      <c r="K230" s="61">
        <v>112</v>
      </c>
      <c r="L230" s="61">
        <v>112</v>
      </c>
      <c r="M230" s="61">
        <v>56</v>
      </c>
      <c r="N230" s="61">
        <v>0</v>
      </c>
      <c r="O230" s="61"/>
      <c r="P230" s="61"/>
      <c r="Q230" s="61"/>
      <c r="R230" s="708"/>
      <c r="S230" s="61"/>
      <c r="T230" s="150">
        <f>IF(NFI_Expiration=1,IF($A230&lt;VLOOKUP(I$5,NFI,5,0),1,0)*Data_NFI_t[[#This Row],[Hygiene Kit]],0)</f>
        <v>0</v>
      </c>
      <c r="U230" s="150">
        <f>IF(NFI_Expiration=1,IF($A230&lt;VLOOKUP(J$5,NFI,5,0),1,0)*Data_NFI_t[[#This Row],[NFI Core Kit]],0)</f>
        <v>0</v>
      </c>
      <c r="V230" s="131">
        <f>IF(NFI_Expiration=1,IF($A230&lt;VLOOKUP(K$5,NFI,5,0),1,0)*Data_NFI_t[[#This Row],[Sanitary Kit]],0)</f>
        <v>0</v>
      </c>
      <c r="W230" s="131">
        <f>IF(NFI_Expiration=1,IF($A230&lt;VLOOKUP(L$5,NFI,5,0),1,0)*Data_NFI_t[[#This Row],[Mosquito net]],0)</f>
        <v>0</v>
      </c>
      <c r="X230" s="131">
        <f>IF(NFI_Expiration=1,IF($A230&lt;VLOOKUP(M$5,NFI,5,0),1,0)*Data_NFI_t[[#This Row],[Tarpaulin]],0)</f>
        <v>0</v>
      </c>
      <c r="Y230" s="131">
        <f>IF(NFI_Expiration=1,IF($A230&lt;VLOOKUP(N$5,NFI,5,0),1,0)*Data_NFI_t[[#This Row],[Blanket]],0)</f>
        <v>0</v>
      </c>
      <c r="Z230" s="131">
        <f>IF(NFI_Expiration=1,IF($A230&lt;VLOOKUP(O$5,NFI,5,0),1,0)*Data_NFI_t[[#This Row],[Kitchen Set]],0)</f>
        <v>0</v>
      </c>
      <c r="AA230" s="131">
        <f>IF(NFI_Expiration=1,IF($A230&lt;VLOOKUP(P$5,NFI,5,0),1,0)*Data_NFI_t[[#This Row],[Complementary Kit]],0)</f>
        <v>0</v>
      </c>
      <c r="AB230" s="131">
        <f>IF(NFI_Expiration=1,IF($A230&lt;VLOOKUP(Q$5,NFI,5,0),1,0)*Data_NFI_t[[#This Row],[Plastic Bucket]],0)</f>
        <v>0</v>
      </c>
      <c r="AC230" s="131">
        <f>IF(NFI_Expiration=1,IF($A230&lt;VLOOKUP(R$5,NFI,5,0),1,0)*Data_NFI_t[[#This Row],[Jerry Can]],0)</f>
        <v>0</v>
      </c>
      <c r="AD230" s="150">
        <f>IF(NFI_Expiration=1,IF($A230&lt;VLOOKUP(S$5,NFI,5,0),1,0)*Data_NFI_t[[#This Row],[Plastic Mat]],0)*IF(Data_NFI_t[[#This Row],[Distribution Date]]&gt;"01-04-2014",1,2.5)</f>
        <v>0</v>
      </c>
      <c r="AE230" s="150" t="str">
        <f ca="1">IFERROR(OFFSET(Camp_List[P_Code],MATCH(Data_NFI_t[[#This Row],[Camp Name]],Camp_List[Camp Name],0)-1,0,1,1),"")</f>
        <v>MMR012CMP087</v>
      </c>
      <c r="AF230" s="714" t="str">
        <f ca="1">IFERROR(OFFSET(Camp_List[Status],MATCH(Data_NFI_t[[#This Row],[Camp Name]],Camp_List[Camp Name],0)-1,0,1,1),"")</f>
        <v>Close</v>
      </c>
    </row>
    <row r="231" spans="1:32" s="102" customFormat="1" ht="15" customHeight="1" x14ac:dyDescent="0.25">
      <c r="A231" s="265">
        <f t="shared" si="3"/>
        <v>35.166666666666664</v>
      </c>
      <c r="B231" s="265">
        <f>YEAR(Data_NFI_t[[#This Row],[Distribution Date]])</f>
        <v>2013</v>
      </c>
      <c r="C231" s="738">
        <v>41284</v>
      </c>
      <c r="D231" s="655" t="s">
        <v>292</v>
      </c>
      <c r="E231" s="654" t="s">
        <v>288</v>
      </c>
      <c r="F231" s="655" t="s">
        <v>7</v>
      </c>
      <c r="G231" s="31" t="s">
        <v>19</v>
      </c>
      <c r="H231" s="31" t="s">
        <v>247</v>
      </c>
      <c r="I231" s="31"/>
      <c r="J231" s="61"/>
      <c r="K231" s="61"/>
      <c r="L231" s="61"/>
      <c r="M231" s="61"/>
      <c r="N231" s="61">
        <v>45</v>
      </c>
      <c r="O231" s="61"/>
      <c r="P231" s="61"/>
      <c r="Q231" s="61"/>
      <c r="R231" s="708"/>
      <c r="S231" s="61"/>
      <c r="T231" s="150">
        <f>IF(NFI_Expiration=1,IF($A231&lt;VLOOKUP(I$5,NFI,5,0),1,0)*Data_NFI_t[[#This Row],[Hygiene Kit]],0)</f>
        <v>0</v>
      </c>
      <c r="U231" s="150">
        <f>IF(NFI_Expiration=1,IF($A231&lt;VLOOKUP(J$5,NFI,5,0),1,0)*Data_NFI_t[[#This Row],[NFI Core Kit]],0)</f>
        <v>0</v>
      </c>
      <c r="V231" s="131">
        <f>IF(NFI_Expiration=1,IF($A231&lt;VLOOKUP(K$5,NFI,5,0),1,0)*Data_NFI_t[[#This Row],[Sanitary Kit]],0)</f>
        <v>0</v>
      </c>
      <c r="W231" s="131">
        <f>IF(NFI_Expiration=1,IF($A231&lt;VLOOKUP(L$5,NFI,5,0),1,0)*Data_NFI_t[[#This Row],[Mosquito net]],0)</f>
        <v>0</v>
      </c>
      <c r="X231" s="131">
        <f>IF(NFI_Expiration=1,IF($A231&lt;VLOOKUP(M$5,NFI,5,0),1,0)*Data_NFI_t[[#This Row],[Tarpaulin]],0)</f>
        <v>0</v>
      </c>
      <c r="Y231" s="131">
        <f>IF(NFI_Expiration=1,IF($A231&lt;VLOOKUP(N$5,NFI,5,0),1,0)*Data_NFI_t[[#This Row],[Blanket]],0)</f>
        <v>0</v>
      </c>
      <c r="Z231" s="131">
        <f>IF(NFI_Expiration=1,IF($A231&lt;VLOOKUP(O$5,NFI,5,0),1,0)*Data_NFI_t[[#This Row],[Kitchen Set]],0)</f>
        <v>0</v>
      </c>
      <c r="AA231" s="131">
        <f>IF(NFI_Expiration=1,IF($A231&lt;VLOOKUP(P$5,NFI,5,0),1,0)*Data_NFI_t[[#This Row],[Complementary Kit]],0)</f>
        <v>0</v>
      </c>
      <c r="AB231" s="131">
        <f>IF(NFI_Expiration=1,IF($A231&lt;VLOOKUP(Q$5,NFI,5,0),1,0)*Data_NFI_t[[#This Row],[Plastic Bucket]],0)</f>
        <v>0</v>
      </c>
      <c r="AC231" s="131">
        <f>IF(NFI_Expiration=1,IF($A231&lt;VLOOKUP(R$5,NFI,5,0),1,0)*Data_NFI_t[[#This Row],[Jerry Can]],0)</f>
        <v>0</v>
      </c>
      <c r="AD231" s="150">
        <f>IF(NFI_Expiration=1,IF($A231&lt;VLOOKUP(S$5,NFI,5,0),1,0)*Data_NFI_t[[#This Row],[Plastic Mat]],0)*IF(Data_NFI_t[[#This Row],[Distribution Date]]&gt;"01-04-2014",1,2.5)</f>
        <v>0</v>
      </c>
      <c r="AE231" s="150" t="str">
        <f ca="1">IFERROR(OFFSET(Camp_List[P_Code],MATCH(Data_NFI_t[[#This Row],[Camp Name]],Camp_List[Camp Name],0)-1,0,1,1),"")</f>
        <v>MMR012CMP090</v>
      </c>
      <c r="AF231" s="714" t="str">
        <f ca="1">IFERROR(OFFSET(Camp_List[Status],MATCH(Data_NFI_t[[#This Row],[Camp Name]],Camp_List[Camp Name],0)-1,0,1,1),"")</f>
        <v>Close</v>
      </c>
    </row>
    <row r="232" spans="1:32" s="102" customFormat="1" ht="15" customHeight="1" x14ac:dyDescent="0.25">
      <c r="A232" s="265">
        <f t="shared" si="3"/>
        <v>35.200000000000003</v>
      </c>
      <c r="B232" s="265">
        <f>YEAR(Data_NFI_t[[#This Row],[Distribution Date]])</f>
        <v>2013</v>
      </c>
      <c r="C232" s="738">
        <v>41283</v>
      </c>
      <c r="D232" s="655" t="s">
        <v>292</v>
      </c>
      <c r="E232" s="654" t="s">
        <v>288</v>
      </c>
      <c r="F232" s="655" t="s">
        <v>7</v>
      </c>
      <c r="G232" s="31" t="s">
        <v>19</v>
      </c>
      <c r="H232" s="31" t="s">
        <v>247</v>
      </c>
      <c r="I232" s="31"/>
      <c r="J232" s="61"/>
      <c r="K232" s="61"/>
      <c r="L232" s="61"/>
      <c r="M232" s="61"/>
      <c r="N232" s="61">
        <v>50</v>
      </c>
      <c r="O232" s="61"/>
      <c r="P232" s="61"/>
      <c r="Q232" s="61"/>
      <c r="R232" s="708"/>
      <c r="S232" s="61"/>
      <c r="T232" s="150">
        <f>IF(NFI_Expiration=1,IF($A232&lt;VLOOKUP(I$5,NFI,5,0),1,0)*Data_NFI_t[[#This Row],[Hygiene Kit]],0)</f>
        <v>0</v>
      </c>
      <c r="U232" s="150">
        <f>IF(NFI_Expiration=1,IF($A232&lt;VLOOKUP(J$5,NFI,5,0),1,0)*Data_NFI_t[[#This Row],[NFI Core Kit]],0)</f>
        <v>0</v>
      </c>
      <c r="V232" s="131">
        <f>IF(NFI_Expiration=1,IF($A232&lt;VLOOKUP(K$5,NFI,5,0),1,0)*Data_NFI_t[[#This Row],[Sanitary Kit]],0)</f>
        <v>0</v>
      </c>
      <c r="W232" s="131">
        <f>IF(NFI_Expiration=1,IF($A232&lt;VLOOKUP(L$5,NFI,5,0),1,0)*Data_NFI_t[[#This Row],[Mosquito net]],0)</f>
        <v>0</v>
      </c>
      <c r="X232" s="131">
        <f>IF(NFI_Expiration=1,IF($A232&lt;VLOOKUP(M$5,NFI,5,0),1,0)*Data_NFI_t[[#This Row],[Tarpaulin]],0)</f>
        <v>0</v>
      </c>
      <c r="Y232" s="131">
        <f>IF(NFI_Expiration=1,IF($A232&lt;VLOOKUP(N$5,NFI,5,0),1,0)*Data_NFI_t[[#This Row],[Blanket]],0)</f>
        <v>0</v>
      </c>
      <c r="Z232" s="131">
        <f>IF(NFI_Expiration=1,IF($A232&lt;VLOOKUP(O$5,NFI,5,0),1,0)*Data_NFI_t[[#This Row],[Kitchen Set]],0)</f>
        <v>0</v>
      </c>
      <c r="AA232" s="131">
        <f>IF(NFI_Expiration=1,IF($A232&lt;VLOOKUP(P$5,NFI,5,0),1,0)*Data_NFI_t[[#This Row],[Complementary Kit]],0)</f>
        <v>0</v>
      </c>
      <c r="AB232" s="131">
        <f>IF(NFI_Expiration=1,IF($A232&lt;VLOOKUP(Q$5,NFI,5,0),1,0)*Data_NFI_t[[#This Row],[Plastic Bucket]],0)</f>
        <v>0</v>
      </c>
      <c r="AC232" s="131">
        <f>IF(NFI_Expiration=1,IF($A232&lt;VLOOKUP(R$5,NFI,5,0),1,0)*Data_NFI_t[[#This Row],[Jerry Can]],0)</f>
        <v>0</v>
      </c>
      <c r="AD232" s="150">
        <f>IF(NFI_Expiration=1,IF($A232&lt;VLOOKUP(S$5,NFI,5,0),1,0)*Data_NFI_t[[#This Row],[Plastic Mat]],0)*IF(Data_NFI_t[[#This Row],[Distribution Date]]&gt;"01-04-2014",1,2.5)</f>
        <v>0</v>
      </c>
      <c r="AE232" s="150" t="str">
        <f ca="1">IFERROR(OFFSET(Camp_List[P_Code],MATCH(Data_NFI_t[[#This Row],[Camp Name]],Camp_List[Camp Name],0)-1,0,1,1),"")</f>
        <v>MMR012CMP090</v>
      </c>
      <c r="AF232" s="714" t="str">
        <f ca="1">IFERROR(OFFSET(Camp_List[Status],MATCH(Data_NFI_t[[#This Row],[Camp Name]],Camp_List[Camp Name],0)-1,0,1,1),"")</f>
        <v>Close</v>
      </c>
    </row>
    <row r="233" spans="1:32" s="102" customFormat="1" ht="15" customHeight="1" x14ac:dyDescent="0.25">
      <c r="A233" s="265">
        <f t="shared" si="3"/>
        <v>35.266666666666666</v>
      </c>
      <c r="B233" s="265">
        <f>YEAR(Data_NFI_t[[#This Row],[Distribution Date]])</f>
        <v>2013</v>
      </c>
      <c r="C233" s="738">
        <v>41281</v>
      </c>
      <c r="D233" s="655" t="s">
        <v>288</v>
      </c>
      <c r="E233" s="654"/>
      <c r="F233" s="655" t="s">
        <v>7</v>
      </c>
      <c r="G233" s="31" t="s">
        <v>16</v>
      </c>
      <c r="H233" s="31" t="s">
        <v>57</v>
      </c>
      <c r="I233" s="31"/>
      <c r="J233" s="61">
        <v>228</v>
      </c>
      <c r="K233" s="61"/>
      <c r="L233" s="61">
        <v>456</v>
      </c>
      <c r="M233" s="61">
        <v>228</v>
      </c>
      <c r="N233" s="61">
        <v>456</v>
      </c>
      <c r="O233" s="61">
        <v>228</v>
      </c>
      <c r="P233" s="61">
        <v>228</v>
      </c>
      <c r="Q233" s="61">
        <v>228</v>
      </c>
      <c r="R233" s="708"/>
      <c r="S233" s="61">
        <v>456</v>
      </c>
      <c r="T233" s="150">
        <f>IF(NFI_Expiration=1,IF($A233&lt;VLOOKUP(I$5,NFI,5,0),1,0)*Data_NFI_t[[#This Row],[Hygiene Kit]],0)</f>
        <v>0</v>
      </c>
      <c r="U233" s="150">
        <f>IF(NFI_Expiration=1,IF($A233&lt;VLOOKUP(J$5,NFI,5,0),1,0)*Data_NFI_t[[#This Row],[NFI Core Kit]],0)</f>
        <v>0</v>
      </c>
      <c r="V233" s="131">
        <f>IF(NFI_Expiration=1,IF($A233&lt;VLOOKUP(K$5,NFI,5,0),1,0)*Data_NFI_t[[#This Row],[Sanitary Kit]],0)</f>
        <v>0</v>
      </c>
      <c r="W233" s="131">
        <f>IF(NFI_Expiration=1,IF($A233&lt;VLOOKUP(L$5,NFI,5,0),1,0)*Data_NFI_t[[#This Row],[Mosquito net]],0)</f>
        <v>0</v>
      </c>
      <c r="X233" s="131">
        <f>IF(NFI_Expiration=1,IF($A233&lt;VLOOKUP(M$5,NFI,5,0),1,0)*Data_NFI_t[[#This Row],[Tarpaulin]],0)</f>
        <v>0</v>
      </c>
      <c r="Y233" s="131">
        <f>IF(NFI_Expiration=1,IF($A233&lt;VLOOKUP(N$5,NFI,5,0),1,0)*Data_NFI_t[[#This Row],[Blanket]],0)</f>
        <v>0</v>
      </c>
      <c r="Z233" s="131">
        <f>IF(NFI_Expiration=1,IF($A233&lt;VLOOKUP(O$5,NFI,5,0),1,0)*Data_NFI_t[[#This Row],[Kitchen Set]],0)</f>
        <v>0</v>
      </c>
      <c r="AA233" s="131">
        <f>IF(NFI_Expiration=1,IF($A233&lt;VLOOKUP(P$5,NFI,5,0),1,0)*Data_NFI_t[[#This Row],[Complementary Kit]],0)</f>
        <v>0</v>
      </c>
      <c r="AB233" s="131">
        <f>IF(NFI_Expiration=1,IF($A233&lt;VLOOKUP(Q$5,NFI,5,0),1,0)*Data_NFI_t[[#This Row],[Plastic Bucket]],0)</f>
        <v>0</v>
      </c>
      <c r="AC233" s="131">
        <f>IF(NFI_Expiration=1,IF($A233&lt;VLOOKUP(R$5,NFI,5,0),1,0)*Data_NFI_t[[#This Row],[Jerry Can]],0)</f>
        <v>0</v>
      </c>
      <c r="AD233" s="150">
        <f>IF(NFI_Expiration=1,IF($A233&lt;VLOOKUP(S$5,NFI,5,0),1,0)*Data_NFI_t[[#This Row],[Plastic Mat]],0)*IF(Data_NFI_t[[#This Row],[Distribution Date]]&gt;"01-04-2014",1,2.5)</f>
        <v>0</v>
      </c>
      <c r="AE233" s="150" t="str">
        <f ca="1">IFERROR(OFFSET(Camp_List[P_Code],MATCH(Data_NFI_t[[#This Row],[Camp Name]],Camp_List[Camp Name],0)-1,0,1,1),"")</f>
        <v>MMR012CMP034</v>
      </c>
      <c r="AF233" s="714" t="str">
        <f ca="1">IFERROR(OFFSET(Camp_List[Status],MATCH(Data_NFI_t[[#This Row],[Camp Name]],Camp_List[Camp Name],0)-1,0,1,1),"")</f>
        <v>Open</v>
      </c>
    </row>
    <row r="234" spans="1:32" s="102" customFormat="1" ht="15" customHeight="1" x14ac:dyDescent="0.25">
      <c r="A234" s="265">
        <f t="shared" si="3"/>
        <v>35.266666666666666</v>
      </c>
      <c r="B234" s="265">
        <f>YEAR(Data_NFI_t[[#This Row],[Distribution Date]])</f>
        <v>2013</v>
      </c>
      <c r="C234" s="738">
        <v>41281</v>
      </c>
      <c r="D234" s="655" t="s">
        <v>288</v>
      </c>
      <c r="E234" s="654"/>
      <c r="F234" s="655" t="s">
        <v>7</v>
      </c>
      <c r="G234" s="31" t="s">
        <v>16</v>
      </c>
      <c r="H234" s="31" t="s">
        <v>57</v>
      </c>
      <c r="I234" s="31"/>
      <c r="J234" s="61"/>
      <c r="K234" s="61">
        <v>228</v>
      </c>
      <c r="L234" s="61">
        <v>443</v>
      </c>
      <c r="M234" s="61">
        <v>228</v>
      </c>
      <c r="N234" s="61">
        <v>0</v>
      </c>
      <c r="O234" s="61"/>
      <c r="P234" s="61"/>
      <c r="Q234" s="61"/>
      <c r="R234" s="708"/>
      <c r="S234" s="61"/>
      <c r="T234" s="150">
        <f>IF(NFI_Expiration=1,IF($A234&lt;VLOOKUP(I$5,NFI,5,0),1,0)*Data_NFI_t[[#This Row],[Hygiene Kit]],0)</f>
        <v>0</v>
      </c>
      <c r="U234" s="150">
        <f>IF(NFI_Expiration=1,IF($A234&lt;VLOOKUP(J$5,NFI,5,0),1,0)*Data_NFI_t[[#This Row],[NFI Core Kit]],0)</f>
        <v>0</v>
      </c>
      <c r="V234" s="131">
        <f>IF(NFI_Expiration=1,IF($A234&lt;VLOOKUP(K$5,NFI,5,0),1,0)*Data_NFI_t[[#This Row],[Sanitary Kit]],0)</f>
        <v>0</v>
      </c>
      <c r="W234" s="131">
        <f>IF(NFI_Expiration=1,IF($A234&lt;VLOOKUP(L$5,NFI,5,0),1,0)*Data_NFI_t[[#This Row],[Mosquito net]],0)</f>
        <v>0</v>
      </c>
      <c r="X234" s="131">
        <f>IF(NFI_Expiration=1,IF($A234&lt;VLOOKUP(M$5,NFI,5,0),1,0)*Data_NFI_t[[#This Row],[Tarpaulin]],0)</f>
        <v>0</v>
      </c>
      <c r="Y234" s="131">
        <f>IF(NFI_Expiration=1,IF($A234&lt;VLOOKUP(N$5,NFI,5,0),1,0)*Data_NFI_t[[#This Row],[Blanket]],0)</f>
        <v>0</v>
      </c>
      <c r="Z234" s="131">
        <f>IF(NFI_Expiration=1,IF($A234&lt;VLOOKUP(O$5,NFI,5,0),1,0)*Data_NFI_t[[#This Row],[Kitchen Set]],0)</f>
        <v>0</v>
      </c>
      <c r="AA234" s="131">
        <f>IF(NFI_Expiration=1,IF($A234&lt;VLOOKUP(P$5,NFI,5,0),1,0)*Data_NFI_t[[#This Row],[Complementary Kit]],0)</f>
        <v>0</v>
      </c>
      <c r="AB234" s="131">
        <f>IF(NFI_Expiration=1,IF($A234&lt;VLOOKUP(Q$5,NFI,5,0),1,0)*Data_NFI_t[[#This Row],[Plastic Bucket]],0)</f>
        <v>0</v>
      </c>
      <c r="AC234" s="131">
        <f>IF(NFI_Expiration=1,IF($A234&lt;VLOOKUP(R$5,NFI,5,0),1,0)*Data_NFI_t[[#This Row],[Jerry Can]],0)</f>
        <v>0</v>
      </c>
      <c r="AD234" s="150">
        <f>IF(NFI_Expiration=1,IF($A234&lt;VLOOKUP(S$5,NFI,5,0),1,0)*Data_NFI_t[[#This Row],[Plastic Mat]],0)*IF(Data_NFI_t[[#This Row],[Distribution Date]]&gt;"01-04-2014",1,2.5)</f>
        <v>0</v>
      </c>
      <c r="AE234" s="150" t="str">
        <f ca="1">IFERROR(OFFSET(Camp_List[P_Code],MATCH(Data_NFI_t[[#This Row],[Camp Name]],Camp_List[Camp Name],0)-1,0,1,1),"")</f>
        <v>MMR012CMP034</v>
      </c>
      <c r="AF234" s="714" t="str">
        <f ca="1">IFERROR(OFFSET(Camp_List[Status],MATCH(Data_NFI_t[[#This Row],[Camp Name]],Camp_List[Camp Name],0)-1,0,1,1),"")</f>
        <v>Open</v>
      </c>
    </row>
    <row r="235" spans="1:32" s="102" customFormat="1" ht="15" customHeight="1" x14ac:dyDescent="0.25">
      <c r="A235" s="265">
        <f t="shared" si="3"/>
        <v>35.266666666666666</v>
      </c>
      <c r="B235" s="265">
        <f>YEAR(Data_NFI_t[[#This Row],[Distribution Date]])</f>
        <v>2013</v>
      </c>
      <c r="C235" s="738">
        <v>41281</v>
      </c>
      <c r="D235" s="655" t="s">
        <v>288</v>
      </c>
      <c r="E235" s="654"/>
      <c r="F235" s="655" t="s">
        <v>7</v>
      </c>
      <c r="G235" s="31" t="s">
        <v>20</v>
      </c>
      <c r="H235" s="31" t="s">
        <v>105</v>
      </c>
      <c r="I235" s="31"/>
      <c r="J235" s="61">
        <v>93</v>
      </c>
      <c r="K235" s="61"/>
      <c r="L235" s="61">
        <v>186</v>
      </c>
      <c r="M235" s="61">
        <v>93</v>
      </c>
      <c r="N235" s="61">
        <v>186</v>
      </c>
      <c r="O235" s="61">
        <v>93</v>
      </c>
      <c r="P235" s="61">
        <v>93</v>
      </c>
      <c r="Q235" s="61">
        <v>93</v>
      </c>
      <c r="R235" s="708"/>
      <c r="S235" s="61">
        <v>186</v>
      </c>
      <c r="T235" s="150">
        <f>IF(NFI_Expiration=1,IF($A235&lt;VLOOKUP(I$5,NFI,5,0),1,0)*Data_NFI_t[[#This Row],[Hygiene Kit]],0)</f>
        <v>0</v>
      </c>
      <c r="U235" s="150">
        <f>IF(NFI_Expiration=1,IF($A235&lt;VLOOKUP(J$5,NFI,5,0),1,0)*Data_NFI_t[[#This Row],[NFI Core Kit]],0)</f>
        <v>0</v>
      </c>
      <c r="V235" s="131">
        <f>IF(NFI_Expiration=1,IF($A235&lt;VLOOKUP(K$5,NFI,5,0),1,0)*Data_NFI_t[[#This Row],[Sanitary Kit]],0)</f>
        <v>0</v>
      </c>
      <c r="W235" s="131">
        <f>IF(NFI_Expiration=1,IF($A235&lt;VLOOKUP(L$5,NFI,5,0),1,0)*Data_NFI_t[[#This Row],[Mosquito net]],0)</f>
        <v>0</v>
      </c>
      <c r="X235" s="131">
        <f>IF(NFI_Expiration=1,IF($A235&lt;VLOOKUP(M$5,NFI,5,0),1,0)*Data_NFI_t[[#This Row],[Tarpaulin]],0)</f>
        <v>0</v>
      </c>
      <c r="Y235" s="131">
        <f>IF(NFI_Expiration=1,IF($A235&lt;VLOOKUP(N$5,NFI,5,0),1,0)*Data_NFI_t[[#This Row],[Blanket]],0)</f>
        <v>0</v>
      </c>
      <c r="Z235" s="131">
        <f>IF(NFI_Expiration=1,IF($A235&lt;VLOOKUP(O$5,NFI,5,0),1,0)*Data_NFI_t[[#This Row],[Kitchen Set]],0)</f>
        <v>0</v>
      </c>
      <c r="AA235" s="131">
        <f>IF(NFI_Expiration=1,IF($A235&lt;VLOOKUP(P$5,NFI,5,0),1,0)*Data_NFI_t[[#This Row],[Complementary Kit]],0)</f>
        <v>0</v>
      </c>
      <c r="AB235" s="131">
        <f>IF(NFI_Expiration=1,IF($A235&lt;VLOOKUP(Q$5,NFI,5,0),1,0)*Data_NFI_t[[#This Row],[Plastic Bucket]],0)</f>
        <v>0</v>
      </c>
      <c r="AC235" s="131">
        <f>IF(NFI_Expiration=1,IF($A235&lt;VLOOKUP(R$5,NFI,5,0),1,0)*Data_NFI_t[[#This Row],[Jerry Can]],0)</f>
        <v>0</v>
      </c>
      <c r="AD235" s="150">
        <f>IF(NFI_Expiration=1,IF($A235&lt;VLOOKUP(S$5,NFI,5,0),1,0)*Data_NFI_t[[#This Row],[Plastic Mat]],0)*IF(Data_NFI_t[[#This Row],[Distribution Date]]&gt;"01-04-2014",1,2.5)</f>
        <v>0</v>
      </c>
      <c r="AE235" s="150" t="str">
        <f ca="1">IFERROR(OFFSET(Camp_List[P_Code],MATCH(Data_NFI_t[[#This Row],[Camp Name]],Camp_List[Camp Name],0)-1,0,1,1),"")</f>
        <v/>
      </c>
      <c r="AF235" s="714" t="str">
        <f ca="1">IFERROR(OFFSET(Camp_List[Status],MATCH(Data_NFI_t[[#This Row],[Camp Name]],Camp_List[Camp Name],0)-1,0,1,1),"")</f>
        <v/>
      </c>
    </row>
    <row r="236" spans="1:32" s="102" customFormat="1" ht="15" customHeight="1" x14ac:dyDescent="0.25">
      <c r="A236" s="265">
        <f t="shared" si="3"/>
        <v>35.266666666666666</v>
      </c>
      <c r="B236" s="265">
        <f>YEAR(Data_NFI_t[[#This Row],[Distribution Date]])</f>
        <v>2013</v>
      </c>
      <c r="C236" s="738">
        <v>41281</v>
      </c>
      <c r="D236" s="655" t="s">
        <v>288</v>
      </c>
      <c r="E236" s="654"/>
      <c r="F236" s="655" t="s">
        <v>7</v>
      </c>
      <c r="G236" s="31" t="s">
        <v>20</v>
      </c>
      <c r="H236" s="31" t="s">
        <v>105</v>
      </c>
      <c r="I236" s="31"/>
      <c r="J236" s="61"/>
      <c r="K236" s="61">
        <v>186</v>
      </c>
      <c r="L236" s="61">
        <v>186</v>
      </c>
      <c r="M236" s="61">
        <v>93</v>
      </c>
      <c r="N236" s="61">
        <v>0</v>
      </c>
      <c r="O236" s="61"/>
      <c r="P236" s="61"/>
      <c r="Q236" s="61"/>
      <c r="R236" s="708"/>
      <c r="S236" s="61"/>
      <c r="T236" s="150">
        <f>IF(NFI_Expiration=1,IF($A236&lt;VLOOKUP(I$5,NFI,5,0),1,0)*Data_NFI_t[[#This Row],[Hygiene Kit]],0)</f>
        <v>0</v>
      </c>
      <c r="U236" s="150">
        <f>IF(NFI_Expiration=1,IF($A236&lt;VLOOKUP(J$5,NFI,5,0),1,0)*Data_NFI_t[[#This Row],[NFI Core Kit]],0)</f>
        <v>0</v>
      </c>
      <c r="V236" s="131">
        <f>IF(NFI_Expiration=1,IF($A236&lt;VLOOKUP(K$5,NFI,5,0),1,0)*Data_NFI_t[[#This Row],[Sanitary Kit]],0)</f>
        <v>0</v>
      </c>
      <c r="W236" s="131">
        <f>IF(NFI_Expiration=1,IF($A236&lt;VLOOKUP(L$5,NFI,5,0),1,0)*Data_NFI_t[[#This Row],[Mosquito net]],0)</f>
        <v>0</v>
      </c>
      <c r="X236" s="131">
        <f>IF(NFI_Expiration=1,IF($A236&lt;VLOOKUP(M$5,NFI,5,0),1,0)*Data_NFI_t[[#This Row],[Tarpaulin]],0)</f>
        <v>0</v>
      </c>
      <c r="Y236" s="131">
        <f>IF(NFI_Expiration=1,IF($A236&lt;VLOOKUP(N$5,NFI,5,0),1,0)*Data_NFI_t[[#This Row],[Blanket]],0)</f>
        <v>0</v>
      </c>
      <c r="Z236" s="131">
        <f>IF(NFI_Expiration=1,IF($A236&lt;VLOOKUP(O$5,NFI,5,0),1,0)*Data_NFI_t[[#This Row],[Kitchen Set]],0)</f>
        <v>0</v>
      </c>
      <c r="AA236" s="131">
        <f>IF(NFI_Expiration=1,IF($A236&lt;VLOOKUP(P$5,NFI,5,0),1,0)*Data_NFI_t[[#This Row],[Complementary Kit]],0)</f>
        <v>0</v>
      </c>
      <c r="AB236" s="131">
        <f>IF(NFI_Expiration=1,IF($A236&lt;VLOOKUP(Q$5,NFI,5,0),1,0)*Data_NFI_t[[#This Row],[Plastic Bucket]],0)</f>
        <v>0</v>
      </c>
      <c r="AC236" s="131">
        <f>IF(NFI_Expiration=1,IF($A236&lt;VLOOKUP(R$5,NFI,5,0),1,0)*Data_NFI_t[[#This Row],[Jerry Can]],0)</f>
        <v>0</v>
      </c>
      <c r="AD236" s="150">
        <f>IF(NFI_Expiration=1,IF($A236&lt;VLOOKUP(S$5,NFI,5,0),1,0)*Data_NFI_t[[#This Row],[Plastic Mat]],0)*IF(Data_NFI_t[[#This Row],[Distribution Date]]&gt;"01-04-2014",1,2.5)</f>
        <v>0</v>
      </c>
      <c r="AE236" s="150" t="str">
        <f ca="1">IFERROR(OFFSET(Camp_List[P_Code],MATCH(Data_NFI_t[[#This Row],[Camp Name]],Camp_List[Camp Name],0)-1,0,1,1),"")</f>
        <v/>
      </c>
      <c r="AF236" s="714" t="str">
        <f ca="1">IFERROR(OFFSET(Camp_List[Status],MATCH(Data_NFI_t[[#This Row],[Camp Name]],Camp_List[Camp Name],0)-1,0,1,1),"")</f>
        <v/>
      </c>
    </row>
    <row r="237" spans="1:32" s="102" customFormat="1" ht="15" customHeight="1" x14ac:dyDescent="0.25">
      <c r="A237" s="265">
        <f t="shared" si="3"/>
        <v>35.466666666666669</v>
      </c>
      <c r="B237" s="265">
        <f>YEAR(Data_NFI_t[[#This Row],[Distribution Date]])</f>
        <v>2013</v>
      </c>
      <c r="C237" s="738">
        <v>41275</v>
      </c>
      <c r="D237" s="655" t="s">
        <v>530</v>
      </c>
      <c r="E237" s="654" t="s">
        <v>530</v>
      </c>
      <c r="F237" s="655" t="s">
        <v>7</v>
      </c>
      <c r="G237" s="31" t="s">
        <v>19</v>
      </c>
      <c r="H237" s="31" t="s">
        <v>61</v>
      </c>
      <c r="I237" s="31">
        <v>20</v>
      </c>
      <c r="J237" s="61"/>
      <c r="K237" s="61"/>
      <c r="L237" s="61"/>
      <c r="M237" s="61"/>
      <c r="N237" s="61"/>
      <c r="O237" s="61"/>
      <c r="P237" s="61"/>
      <c r="Q237" s="61"/>
      <c r="R237" s="708"/>
      <c r="S237" s="61"/>
      <c r="T237" s="150">
        <f>IF(NFI_Expiration=1,IF($A237&lt;VLOOKUP(I$5,NFI,5,0),1,0)*Data_NFI_t[[#This Row],[Hygiene Kit]],0)</f>
        <v>0</v>
      </c>
      <c r="U237" s="150">
        <f>IF(NFI_Expiration=1,IF($A237&lt;VLOOKUP(J$5,NFI,5,0),1,0)*Data_NFI_t[[#This Row],[NFI Core Kit]],0)</f>
        <v>0</v>
      </c>
      <c r="V237" s="131">
        <f>IF(NFI_Expiration=1,IF($A237&lt;VLOOKUP(K$5,NFI,5,0),1,0)*Data_NFI_t[[#This Row],[Sanitary Kit]],0)</f>
        <v>0</v>
      </c>
      <c r="W237" s="131">
        <f>IF(NFI_Expiration=1,IF($A237&lt;VLOOKUP(L$5,NFI,5,0),1,0)*Data_NFI_t[[#This Row],[Mosquito net]],0)</f>
        <v>0</v>
      </c>
      <c r="X237" s="131">
        <f>IF(NFI_Expiration=1,IF($A237&lt;VLOOKUP(M$5,NFI,5,0),1,0)*Data_NFI_t[[#This Row],[Tarpaulin]],0)</f>
        <v>0</v>
      </c>
      <c r="Y237" s="131">
        <f>IF(NFI_Expiration=1,IF($A237&lt;VLOOKUP(N$5,NFI,5,0),1,0)*Data_NFI_t[[#This Row],[Blanket]],0)</f>
        <v>0</v>
      </c>
      <c r="Z237" s="131">
        <f>IF(NFI_Expiration=1,IF($A237&lt;VLOOKUP(O$5,NFI,5,0),1,0)*Data_NFI_t[[#This Row],[Kitchen Set]],0)</f>
        <v>0</v>
      </c>
      <c r="AA237" s="131">
        <f>IF(NFI_Expiration=1,IF($A237&lt;VLOOKUP(P$5,NFI,5,0),1,0)*Data_NFI_t[[#This Row],[Complementary Kit]],0)</f>
        <v>0</v>
      </c>
      <c r="AB237" s="131">
        <f>IF(NFI_Expiration=1,IF($A237&lt;VLOOKUP(Q$5,NFI,5,0),1,0)*Data_NFI_t[[#This Row],[Plastic Bucket]],0)</f>
        <v>0</v>
      </c>
      <c r="AC237" s="131">
        <f>IF(NFI_Expiration=1,IF($A237&lt;VLOOKUP(R$5,NFI,5,0),1,0)*Data_NFI_t[[#This Row],[Jerry Can]],0)</f>
        <v>0</v>
      </c>
      <c r="AD237" s="150">
        <f>IF(NFI_Expiration=1,IF($A237&lt;VLOOKUP(S$5,NFI,5,0),1,0)*Data_NFI_t[[#This Row],[Plastic Mat]],0)*IF(Data_NFI_t[[#This Row],[Distribution Date]]&gt;"01-04-2014",1,2.5)</f>
        <v>0</v>
      </c>
      <c r="AE237" s="150" t="str">
        <f ca="1">IFERROR(OFFSET(Camp_List[P_Code],MATCH(Data_NFI_t[[#This Row],[Camp Name]],Camp_List[Camp Name],0)-1,0,1,1),"")</f>
        <v>MMR012CMP039</v>
      </c>
      <c r="AF237" s="714" t="str">
        <f ca="1">IFERROR(OFFSET(Camp_List[Status],MATCH(Data_NFI_t[[#This Row],[Camp Name]],Camp_List[Camp Name],0)-1,0,1,1),"")</f>
        <v>Open</v>
      </c>
    </row>
    <row r="238" spans="1:32" s="102" customFormat="1" ht="15" customHeight="1" x14ac:dyDescent="0.25">
      <c r="A238" s="265">
        <f t="shared" si="3"/>
        <v>35.466666666666669</v>
      </c>
      <c r="B238" s="265">
        <f>YEAR(Data_NFI_t[[#This Row],[Distribution Date]])</f>
        <v>2013</v>
      </c>
      <c r="C238" s="738">
        <v>41275</v>
      </c>
      <c r="D238" s="655" t="s">
        <v>529</v>
      </c>
      <c r="E238" s="654" t="s">
        <v>295</v>
      </c>
      <c r="F238" s="655" t="s">
        <v>7</v>
      </c>
      <c r="G238" s="31" t="s">
        <v>19</v>
      </c>
      <c r="H238" s="31" t="s">
        <v>62</v>
      </c>
      <c r="I238" s="31">
        <v>4390</v>
      </c>
      <c r="J238" s="61"/>
      <c r="K238" s="61"/>
      <c r="L238" s="61"/>
      <c r="M238" s="61"/>
      <c r="N238" s="61"/>
      <c r="O238" s="61"/>
      <c r="P238" s="61"/>
      <c r="Q238" s="61"/>
      <c r="R238" s="708"/>
      <c r="S238" s="61"/>
      <c r="T238" s="150">
        <f>IF(NFI_Expiration=1,IF($A238&lt;VLOOKUP(I$5,NFI,5,0),1,0)*Data_NFI_t[[#This Row],[Hygiene Kit]],0)</f>
        <v>0</v>
      </c>
      <c r="U238" s="150">
        <f>IF(NFI_Expiration=1,IF($A238&lt;VLOOKUP(J$5,NFI,5,0),1,0)*Data_NFI_t[[#This Row],[NFI Core Kit]],0)</f>
        <v>0</v>
      </c>
      <c r="V238" s="131">
        <f>IF(NFI_Expiration=1,IF($A238&lt;VLOOKUP(K$5,NFI,5,0),1,0)*Data_NFI_t[[#This Row],[Sanitary Kit]],0)</f>
        <v>0</v>
      </c>
      <c r="W238" s="131">
        <f>IF(NFI_Expiration=1,IF($A238&lt;VLOOKUP(L$5,NFI,5,0),1,0)*Data_NFI_t[[#This Row],[Mosquito net]],0)</f>
        <v>0</v>
      </c>
      <c r="X238" s="131">
        <f>IF(NFI_Expiration=1,IF($A238&lt;VLOOKUP(M$5,NFI,5,0),1,0)*Data_NFI_t[[#This Row],[Tarpaulin]],0)</f>
        <v>0</v>
      </c>
      <c r="Y238" s="131">
        <f>IF(NFI_Expiration=1,IF($A238&lt;VLOOKUP(N$5,NFI,5,0),1,0)*Data_NFI_t[[#This Row],[Blanket]],0)</f>
        <v>0</v>
      </c>
      <c r="Z238" s="131">
        <f>IF(NFI_Expiration=1,IF($A238&lt;VLOOKUP(O$5,NFI,5,0),1,0)*Data_NFI_t[[#This Row],[Kitchen Set]],0)</f>
        <v>0</v>
      </c>
      <c r="AA238" s="131">
        <f>IF(NFI_Expiration=1,IF($A238&lt;VLOOKUP(P$5,NFI,5,0),1,0)*Data_NFI_t[[#This Row],[Complementary Kit]],0)</f>
        <v>0</v>
      </c>
      <c r="AB238" s="131">
        <f>IF(NFI_Expiration=1,IF($A238&lt;VLOOKUP(Q$5,NFI,5,0),1,0)*Data_NFI_t[[#This Row],[Plastic Bucket]],0)</f>
        <v>0</v>
      </c>
      <c r="AC238" s="131">
        <f>IF(NFI_Expiration=1,IF($A238&lt;VLOOKUP(R$5,NFI,5,0),1,0)*Data_NFI_t[[#This Row],[Jerry Can]],0)</f>
        <v>0</v>
      </c>
      <c r="AD238" s="150">
        <f>IF(NFI_Expiration=1,IF($A238&lt;VLOOKUP(S$5,NFI,5,0),1,0)*Data_NFI_t[[#This Row],[Plastic Mat]],0)*IF(Data_NFI_t[[#This Row],[Distribution Date]]&gt;"01-04-2014",1,2.5)</f>
        <v>0</v>
      </c>
      <c r="AE238" s="150" t="str">
        <f ca="1">IFERROR(OFFSET(Camp_List[P_Code],MATCH(Data_NFI_t[[#This Row],[Camp Name]],Camp_List[Camp Name],0)-1,0,1,1),"")</f>
        <v>MMR012CMP040</v>
      </c>
      <c r="AF238" s="714" t="str">
        <f ca="1">IFERROR(OFFSET(Camp_List[Status],MATCH(Data_NFI_t[[#This Row],[Camp Name]],Camp_List[Camp Name],0)-1,0,1,1),"")</f>
        <v>Close</v>
      </c>
    </row>
    <row r="239" spans="1:32" s="102" customFormat="1" ht="15" customHeight="1" x14ac:dyDescent="0.25">
      <c r="A239" s="265">
        <f t="shared" si="3"/>
        <v>35.466666666666669</v>
      </c>
      <c r="B239" s="265">
        <f>YEAR(Data_NFI_t[[#This Row],[Distribution Date]])</f>
        <v>2013</v>
      </c>
      <c r="C239" s="738">
        <v>41275</v>
      </c>
      <c r="D239" s="655" t="s">
        <v>529</v>
      </c>
      <c r="E239" s="654" t="s">
        <v>295</v>
      </c>
      <c r="F239" s="655" t="s">
        <v>7</v>
      </c>
      <c r="G239" s="31" t="s">
        <v>19</v>
      </c>
      <c r="H239" s="31" t="s">
        <v>63</v>
      </c>
      <c r="I239" s="31">
        <v>3758</v>
      </c>
      <c r="J239" s="61"/>
      <c r="K239" s="61"/>
      <c r="L239" s="61"/>
      <c r="M239" s="61"/>
      <c r="N239" s="61"/>
      <c r="O239" s="61"/>
      <c r="P239" s="61"/>
      <c r="Q239" s="61"/>
      <c r="R239" s="708"/>
      <c r="S239" s="61"/>
      <c r="T239" s="150">
        <f>IF(NFI_Expiration=1,IF($A239&lt;VLOOKUP(I$5,NFI,5,0),1,0)*Data_NFI_t[[#This Row],[Hygiene Kit]],0)</f>
        <v>0</v>
      </c>
      <c r="U239" s="150">
        <f>IF(NFI_Expiration=1,IF($A239&lt;VLOOKUP(J$5,NFI,5,0),1,0)*Data_NFI_t[[#This Row],[NFI Core Kit]],0)</f>
        <v>0</v>
      </c>
      <c r="V239" s="131">
        <f>IF(NFI_Expiration=1,IF($A239&lt;VLOOKUP(K$5,NFI,5,0),1,0)*Data_NFI_t[[#This Row],[Sanitary Kit]],0)</f>
        <v>0</v>
      </c>
      <c r="W239" s="131">
        <f>IF(NFI_Expiration=1,IF($A239&lt;VLOOKUP(L$5,NFI,5,0),1,0)*Data_NFI_t[[#This Row],[Mosquito net]],0)</f>
        <v>0</v>
      </c>
      <c r="X239" s="131">
        <f>IF(NFI_Expiration=1,IF($A239&lt;VLOOKUP(M$5,NFI,5,0),1,0)*Data_NFI_t[[#This Row],[Tarpaulin]],0)</f>
        <v>0</v>
      </c>
      <c r="Y239" s="131">
        <f>IF(NFI_Expiration=1,IF($A239&lt;VLOOKUP(N$5,NFI,5,0),1,0)*Data_NFI_t[[#This Row],[Blanket]],0)</f>
        <v>0</v>
      </c>
      <c r="Z239" s="131">
        <f>IF(NFI_Expiration=1,IF($A239&lt;VLOOKUP(O$5,NFI,5,0),1,0)*Data_NFI_t[[#This Row],[Kitchen Set]],0)</f>
        <v>0</v>
      </c>
      <c r="AA239" s="131">
        <f>IF(NFI_Expiration=1,IF($A239&lt;VLOOKUP(P$5,NFI,5,0),1,0)*Data_NFI_t[[#This Row],[Complementary Kit]],0)</f>
        <v>0</v>
      </c>
      <c r="AB239" s="131">
        <f>IF(NFI_Expiration=1,IF($A239&lt;VLOOKUP(Q$5,NFI,5,0),1,0)*Data_NFI_t[[#This Row],[Plastic Bucket]],0)</f>
        <v>0</v>
      </c>
      <c r="AC239" s="131">
        <f>IF(NFI_Expiration=1,IF($A239&lt;VLOOKUP(R$5,NFI,5,0),1,0)*Data_NFI_t[[#This Row],[Jerry Can]],0)</f>
        <v>0</v>
      </c>
      <c r="AD239" s="150">
        <f>IF(NFI_Expiration=1,IF($A239&lt;VLOOKUP(S$5,NFI,5,0),1,0)*Data_NFI_t[[#This Row],[Plastic Mat]],0)*IF(Data_NFI_t[[#This Row],[Distribution Date]]&gt;"01-04-2014",1,2.5)</f>
        <v>0</v>
      </c>
      <c r="AE239" s="150" t="str">
        <f ca="1">IFERROR(OFFSET(Camp_List[P_Code],MATCH(Data_NFI_t[[#This Row],[Camp Name]],Camp_List[Camp Name],0)-1,0,1,1),"")</f>
        <v>MMR012CMP041</v>
      </c>
      <c r="AF239" s="714" t="str">
        <f ca="1">IFERROR(OFFSET(Camp_List[Status],MATCH(Data_NFI_t[[#This Row],[Camp Name]],Camp_List[Camp Name],0)-1,0,1,1),"")</f>
        <v>Open</v>
      </c>
    </row>
    <row r="240" spans="1:32" s="102" customFormat="1" ht="15" customHeight="1" x14ac:dyDescent="0.25">
      <c r="A240" s="265">
        <f t="shared" si="3"/>
        <v>35.466666666666669</v>
      </c>
      <c r="B240" s="265">
        <f>YEAR(Data_NFI_t[[#This Row],[Distribution Date]])</f>
        <v>2013</v>
      </c>
      <c r="C240" s="738">
        <v>41275</v>
      </c>
      <c r="D240" s="655" t="s">
        <v>530</v>
      </c>
      <c r="E240" s="654" t="s">
        <v>530</v>
      </c>
      <c r="F240" s="655" t="s">
        <v>7</v>
      </c>
      <c r="G240" s="31" t="s">
        <v>19</v>
      </c>
      <c r="H240" s="31" t="s">
        <v>64</v>
      </c>
      <c r="I240" s="31">
        <v>722</v>
      </c>
      <c r="J240" s="61"/>
      <c r="K240" s="61"/>
      <c r="L240" s="61"/>
      <c r="M240" s="61"/>
      <c r="N240" s="61"/>
      <c r="O240" s="61"/>
      <c r="P240" s="61"/>
      <c r="Q240" s="61"/>
      <c r="R240" s="708"/>
      <c r="S240" s="61"/>
      <c r="T240" s="150">
        <f>IF(NFI_Expiration=1,IF($A240&lt;VLOOKUP(I$5,NFI,5,0),1,0)*Data_NFI_t[[#This Row],[Hygiene Kit]],0)</f>
        <v>0</v>
      </c>
      <c r="U240" s="150">
        <f>IF(NFI_Expiration=1,IF($A240&lt;VLOOKUP(J$5,NFI,5,0),1,0)*Data_NFI_t[[#This Row],[NFI Core Kit]],0)</f>
        <v>0</v>
      </c>
      <c r="V240" s="131">
        <f>IF(NFI_Expiration=1,IF($A240&lt;VLOOKUP(K$5,NFI,5,0),1,0)*Data_NFI_t[[#This Row],[Sanitary Kit]],0)</f>
        <v>0</v>
      </c>
      <c r="W240" s="131">
        <f>IF(NFI_Expiration=1,IF($A240&lt;VLOOKUP(L$5,NFI,5,0),1,0)*Data_NFI_t[[#This Row],[Mosquito net]],0)</f>
        <v>0</v>
      </c>
      <c r="X240" s="131">
        <f>IF(NFI_Expiration=1,IF($A240&lt;VLOOKUP(M$5,NFI,5,0),1,0)*Data_NFI_t[[#This Row],[Tarpaulin]],0)</f>
        <v>0</v>
      </c>
      <c r="Y240" s="131">
        <f>IF(NFI_Expiration=1,IF($A240&lt;VLOOKUP(N$5,NFI,5,0),1,0)*Data_NFI_t[[#This Row],[Blanket]],0)</f>
        <v>0</v>
      </c>
      <c r="Z240" s="131">
        <f>IF(NFI_Expiration=1,IF($A240&lt;VLOOKUP(O$5,NFI,5,0),1,0)*Data_NFI_t[[#This Row],[Kitchen Set]],0)</f>
        <v>0</v>
      </c>
      <c r="AA240" s="131">
        <f>IF(NFI_Expiration=1,IF($A240&lt;VLOOKUP(P$5,NFI,5,0),1,0)*Data_NFI_t[[#This Row],[Complementary Kit]],0)</f>
        <v>0</v>
      </c>
      <c r="AB240" s="131">
        <f>IF(NFI_Expiration=1,IF($A240&lt;VLOOKUP(Q$5,NFI,5,0),1,0)*Data_NFI_t[[#This Row],[Plastic Bucket]],0)</f>
        <v>0</v>
      </c>
      <c r="AC240" s="131">
        <f>IF(NFI_Expiration=1,IF($A240&lt;VLOOKUP(R$5,NFI,5,0),1,0)*Data_NFI_t[[#This Row],[Jerry Can]],0)</f>
        <v>0</v>
      </c>
      <c r="AD240" s="150">
        <f>IF(NFI_Expiration=1,IF($A240&lt;VLOOKUP(S$5,NFI,5,0),1,0)*Data_NFI_t[[#This Row],[Plastic Mat]],0)*IF(Data_NFI_t[[#This Row],[Distribution Date]]&gt;"01-04-2014",1,2.5)</f>
        <v>0</v>
      </c>
      <c r="AE240" s="150" t="str">
        <f ca="1">IFERROR(OFFSET(Camp_List[P_Code],MATCH(Data_NFI_t[[#This Row],[Camp Name]],Camp_List[Camp Name],0)-1,0,1,1),"")</f>
        <v>MMR012CMP042</v>
      </c>
      <c r="AF240" s="714" t="str">
        <f ca="1">IFERROR(OFFSET(Camp_List[Status],MATCH(Data_NFI_t[[#This Row],[Camp Name]],Camp_List[Camp Name],0)-1,0,1,1),"")</f>
        <v>Open</v>
      </c>
    </row>
    <row r="241" spans="1:32" s="102" customFormat="1" ht="15" customHeight="1" x14ac:dyDescent="0.25">
      <c r="A241" s="265">
        <f t="shared" si="3"/>
        <v>35.466666666666669</v>
      </c>
      <c r="B241" s="265">
        <f>YEAR(Data_NFI_t[[#This Row],[Distribution Date]])</f>
        <v>2013</v>
      </c>
      <c r="C241" s="738">
        <v>41275</v>
      </c>
      <c r="D241" s="655" t="s">
        <v>528</v>
      </c>
      <c r="E241" s="654" t="s">
        <v>528</v>
      </c>
      <c r="F241" s="655" t="s">
        <v>7</v>
      </c>
      <c r="G241" s="31" t="s">
        <v>19</v>
      </c>
      <c r="H241" s="31" t="s">
        <v>76</v>
      </c>
      <c r="I241" s="31">
        <v>80</v>
      </c>
      <c r="J241" s="61"/>
      <c r="K241" s="61"/>
      <c r="L241" s="61"/>
      <c r="M241" s="61"/>
      <c r="N241" s="61"/>
      <c r="O241" s="61"/>
      <c r="P241" s="61"/>
      <c r="Q241" s="61"/>
      <c r="R241" s="708"/>
      <c r="S241" s="61"/>
      <c r="T241" s="150">
        <f>IF(NFI_Expiration=1,IF($A241&lt;VLOOKUP(I$5,NFI,5,0),1,0)*Data_NFI_t[[#This Row],[Hygiene Kit]],0)</f>
        <v>0</v>
      </c>
      <c r="U241" s="150">
        <f>IF(NFI_Expiration=1,IF($A241&lt;VLOOKUP(J$5,NFI,5,0),1,0)*Data_NFI_t[[#This Row],[NFI Core Kit]],0)</f>
        <v>0</v>
      </c>
      <c r="V241" s="131">
        <f>IF(NFI_Expiration=1,IF($A241&lt;VLOOKUP(K$5,NFI,5,0),1,0)*Data_NFI_t[[#This Row],[Sanitary Kit]],0)</f>
        <v>0</v>
      </c>
      <c r="W241" s="131">
        <f>IF(NFI_Expiration=1,IF($A241&lt;VLOOKUP(L$5,NFI,5,0),1,0)*Data_NFI_t[[#This Row],[Mosquito net]],0)</f>
        <v>0</v>
      </c>
      <c r="X241" s="131">
        <f>IF(NFI_Expiration=1,IF($A241&lt;VLOOKUP(M$5,NFI,5,0),1,0)*Data_NFI_t[[#This Row],[Tarpaulin]],0)</f>
        <v>0</v>
      </c>
      <c r="Y241" s="131">
        <f>IF(NFI_Expiration=1,IF($A241&lt;VLOOKUP(N$5,NFI,5,0),1,0)*Data_NFI_t[[#This Row],[Blanket]],0)</f>
        <v>0</v>
      </c>
      <c r="Z241" s="131">
        <f>IF(NFI_Expiration=1,IF($A241&lt;VLOOKUP(O$5,NFI,5,0),1,0)*Data_NFI_t[[#This Row],[Kitchen Set]],0)</f>
        <v>0</v>
      </c>
      <c r="AA241" s="131">
        <f>IF(NFI_Expiration=1,IF($A241&lt;VLOOKUP(P$5,NFI,5,0),1,0)*Data_NFI_t[[#This Row],[Complementary Kit]],0)</f>
        <v>0</v>
      </c>
      <c r="AB241" s="131">
        <f>IF(NFI_Expiration=1,IF($A241&lt;VLOOKUP(Q$5,NFI,5,0),1,0)*Data_NFI_t[[#This Row],[Plastic Bucket]],0)</f>
        <v>0</v>
      </c>
      <c r="AC241" s="131">
        <f>IF(NFI_Expiration=1,IF($A241&lt;VLOOKUP(R$5,NFI,5,0),1,0)*Data_NFI_t[[#This Row],[Jerry Can]],0)</f>
        <v>0</v>
      </c>
      <c r="AD241" s="150">
        <f>IF(NFI_Expiration=1,IF($A241&lt;VLOOKUP(S$5,NFI,5,0),1,0)*Data_NFI_t[[#This Row],[Plastic Mat]],0)*IF(Data_NFI_t[[#This Row],[Distribution Date]]&gt;"01-04-2014",1,2.5)</f>
        <v>0</v>
      </c>
      <c r="AE241" s="150" t="str">
        <f ca="1">IFERROR(OFFSET(Camp_List[P_Code],MATCH(Data_NFI_t[[#This Row],[Camp Name]],Camp_List[Camp Name],0)-1,0,1,1),"")</f>
        <v>MMR012CMP054</v>
      </c>
      <c r="AF241" s="714" t="str">
        <f ca="1">IFERROR(OFFSET(Camp_List[Status],MATCH(Data_NFI_t[[#This Row],[Camp Name]],Camp_List[Camp Name],0)-1,0,1,1),"")</f>
        <v>Close</v>
      </c>
    </row>
    <row r="242" spans="1:32" s="102" customFormat="1" ht="15" customHeight="1" x14ac:dyDescent="0.25">
      <c r="A242" s="265">
        <f t="shared" si="3"/>
        <v>35.466666666666669</v>
      </c>
      <c r="B242" s="265">
        <f>YEAR(Data_NFI_t[[#This Row],[Distribution Date]])</f>
        <v>2013</v>
      </c>
      <c r="C242" s="738">
        <v>41275</v>
      </c>
      <c r="D242" s="655" t="s">
        <v>528</v>
      </c>
      <c r="E242" s="654" t="s">
        <v>528</v>
      </c>
      <c r="F242" s="655" t="s">
        <v>7</v>
      </c>
      <c r="G242" s="31" t="s">
        <v>11</v>
      </c>
      <c r="H242" s="31" t="s">
        <v>35</v>
      </c>
      <c r="I242" s="31">
        <v>50</v>
      </c>
      <c r="J242" s="61"/>
      <c r="K242" s="61"/>
      <c r="L242" s="61"/>
      <c r="M242" s="61"/>
      <c r="N242" s="61"/>
      <c r="O242" s="61"/>
      <c r="P242" s="61"/>
      <c r="Q242" s="61"/>
      <c r="R242" s="708"/>
      <c r="S242" s="61"/>
      <c r="T242" s="150">
        <f>IF(NFI_Expiration=1,IF($A242&lt;VLOOKUP(I$5,NFI,5,0),1,0)*Data_NFI_t[[#This Row],[Hygiene Kit]],0)</f>
        <v>0</v>
      </c>
      <c r="U242" s="150">
        <f>IF(NFI_Expiration=1,IF($A242&lt;VLOOKUP(J$5,NFI,5,0),1,0)*Data_NFI_t[[#This Row],[NFI Core Kit]],0)</f>
        <v>0</v>
      </c>
      <c r="V242" s="131">
        <f>IF(NFI_Expiration=1,IF($A242&lt;VLOOKUP(K$5,NFI,5,0),1,0)*Data_NFI_t[[#This Row],[Sanitary Kit]],0)</f>
        <v>0</v>
      </c>
      <c r="W242" s="131">
        <f>IF(NFI_Expiration=1,IF($A242&lt;VLOOKUP(L$5,NFI,5,0),1,0)*Data_NFI_t[[#This Row],[Mosquito net]],0)</f>
        <v>0</v>
      </c>
      <c r="X242" s="131">
        <f>IF(NFI_Expiration=1,IF($A242&lt;VLOOKUP(M$5,NFI,5,0),1,0)*Data_NFI_t[[#This Row],[Tarpaulin]],0)</f>
        <v>0</v>
      </c>
      <c r="Y242" s="131">
        <f>IF(NFI_Expiration=1,IF($A242&lt;VLOOKUP(N$5,NFI,5,0),1,0)*Data_NFI_t[[#This Row],[Blanket]],0)</f>
        <v>0</v>
      </c>
      <c r="Z242" s="131">
        <f>IF(NFI_Expiration=1,IF($A242&lt;VLOOKUP(O$5,NFI,5,0),1,0)*Data_NFI_t[[#This Row],[Kitchen Set]],0)</f>
        <v>0</v>
      </c>
      <c r="AA242" s="131">
        <f>IF(NFI_Expiration=1,IF($A242&lt;VLOOKUP(P$5,NFI,5,0),1,0)*Data_NFI_t[[#This Row],[Complementary Kit]],0)</f>
        <v>0</v>
      </c>
      <c r="AB242" s="131">
        <f>IF(NFI_Expiration=1,IF($A242&lt;VLOOKUP(Q$5,NFI,5,0),1,0)*Data_NFI_t[[#This Row],[Plastic Bucket]],0)</f>
        <v>0</v>
      </c>
      <c r="AC242" s="131">
        <f>IF(NFI_Expiration=1,IF($A242&lt;VLOOKUP(R$5,NFI,5,0),1,0)*Data_NFI_t[[#This Row],[Jerry Can]],0)</f>
        <v>0</v>
      </c>
      <c r="AD242" s="150">
        <f>IF(NFI_Expiration=1,IF($A242&lt;VLOOKUP(S$5,NFI,5,0),1,0)*Data_NFI_t[[#This Row],[Plastic Mat]],0)*IF(Data_NFI_t[[#This Row],[Distribution Date]]&gt;"01-04-2014",1,2.5)</f>
        <v>0</v>
      </c>
      <c r="AE242" s="150" t="str">
        <f ca="1">IFERROR(OFFSET(Camp_List[P_Code],MATCH(Data_NFI_t[[#This Row],[Camp Name]],Camp_List[Camp Name],0)-1,0,1,1),"")</f>
        <v>MMR012CMP011</v>
      </c>
      <c r="AF242" s="714" t="str">
        <f ca="1">IFERROR(OFFSET(Camp_List[Status],MATCH(Data_NFI_t[[#This Row],[Camp Name]],Camp_List[Camp Name],0)-1,0,1,1),"")</f>
        <v>Close</v>
      </c>
    </row>
    <row r="243" spans="1:32" s="102" customFormat="1" ht="15" customHeight="1" x14ac:dyDescent="0.25">
      <c r="A243" s="265">
        <f t="shared" si="3"/>
        <v>35.466666666666669</v>
      </c>
      <c r="B243" s="265">
        <f>YEAR(Data_NFI_t[[#This Row],[Distribution Date]])</f>
        <v>2013</v>
      </c>
      <c r="C243" s="738">
        <v>41275</v>
      </c>
      <c r="D243" s="655" t="s">
        <v>528</v>
      </c>
      <c r="E243" s="654" t="s">
        <v>528</v>
      </c>
      <c r="F243" s="655" t="s">
        <v>7</v>
      </c>
      <c r="G243" s="31" t="s">
        <v>19</v>
      </c>
      <c r="H243" s="31" t="s">
        <v>78</v>
      </c>
      <c r="I243" s="31">
        <v>220</v>
      </c>
      <c r="J243" s="61"/>
      <c r="K243" s="61"/>
      <c r="L243" s="61"/>
      <c r="M243" s="61"/>
      <c r="N243" s="61"/>
      <c r="O243" s="61"/>
      <c r="P243" s="61"/>
      <c r="Q243" s="61"/>
      <c r="R243" s="708"/>
      <c r="S243" s="61"/>
      <c r="T243" s="150">
        <f>IF(NFI_Expiration=1,IF($A243&lt;VLOOKUP(I$5,NFI,5,0),1,0)*Data_NFI_t[[#This Row],[Hygiene Kit]],0)</f>
        <v>0</v>
      </c>
      <c r="U243" s="150">
        <f>IF(NFI_Expiration=1,IF($A243&lt;VLOOKUP(J$5,NFI,5,0),1,0)*Data_NFI_t[[#This Row],[NFI Core Kit]],0)</f>
        <v>0</v>
      </c>
      <c r="V243" s="131">
        <f>IF(NFI_Expiration=1,IF($A243&lt;VLOOKUP(K$5,NFI,5,0),1,0)*Data_NFI_t[[#This Row],[Sanitary Kit]],0)</f>
        <v>0</v>
      </c>
      <c r="W243" s="131">
        <f>IF(NFI_Expiration=1,IF($A243&lt;VLOOKUP(L$5,NFI,5,0),1,0)*Data_NFI_t[[#This Row],[Mosquito net]],0)</f>
        <v>0</v>
      </c>
      <c r="X243" s="131">
        <f>IF(NFI_Expiration=1,IF($A243&lt;VLOOKUP(M$5,NFI,5,0),1,0)*Data_NFI_t[[#This Row],[Tarpaulin]],0)</f>
        <v>0</v>
      </c>
      <c r="Y243" s="131">
        <f>IF(NFI_Expiration=1,IF($A243&lt;VLOOKUP(N$5,NFI,5,0),1,0)*Data_NFI_t[[#This Row],[Blanket]],0)</f>
        <v>0</v>
      </c>
      <c r="Z243" s="131">
        <f>IF(NFI_Expiration=1,IF($A243&lt;VLOOKUP(O$5,NFI,5,0),1,0)*Data_NFI_t[[#This Row],[Kitchen Set]],0)</f>
        <v>0</v>
      </c>
      <c r="AA243" s="131">
        <f>IF(NFI_Expiration=1,IF($A243&lt;VLOOKUP(P$5,NFI,5,0),1,0)*Data_NFI_t[[#This Row],[Complementary Kit]],0)</f>
        <v>0</v>
      </c>
      <c r="AB243" s="131">
        <f>IF(NFI_Expiration=1,IF($A243&lt;VLOOKUP(Q$5,NFI,5,0),1,0)*Data_NFI_t[[#This Row],[Plastic Bucket]],0)</f>
        <v>0</v>
      </c>
      <c r="AC243" s="131">
        <f>IF(NFI_Expiration=1,IF($A243&lt;VLOOKUP(R$5,NFI,5,0),1,0)*Data_NFI_t[[#This Row],[Jerry Can]],0)</f>
        <v>0</v>
      </c>
      <c r="AD243" s="150">
        <f>IF(NFI_Expiration=1,IF($A243&lt;VLOOKUP(S$5,NFI,5,0),1,0)*Data_NFI_t[[#This Row],[Plastic Mat]],0)*IF(Data_NFI_t[[#This Row],[Distribution Date]]&gt;"01-04-2014",1,2.5)</f>
        <v>0</v>
      </c>
      <c r="AE243" s="150" t="str">
        <f ca="1">IFERROR(OFFSET(Camp_List[P_Code],MATCH(Data_NFI_t[[#This Row],[Camp Name]],Camp_List[Camp Name],0)-1,0,1,1),"")</f>
        <v>MMR012CMP056</v>
      </c>
      <c r="AF243" s="714" t="str">
        <f ca="1">IFERROR(OFFSET(Camp_List[Status],MATCH(Data_NFI_t[[#This Row],[Camp Name]],Camp_List[Camp Name],0)-1,0,1,1),"")</f>
        <v>Open</v>
      </c>
    </row>
    <row r="244" spans="1:32" s="102" customFormat="1" ht="15" customHeight="1" x14ac:dyDescent="0.25">
      <c r="A244" s="265">
        <f t="shared" si="3"/>
        <v>35.466666666666669</v>
      </c>
      <c r="B244" s="265">
        <f>YEAR(Data_NFI_t[[#This Row],[Distribution Date]])</f>
        <v>2013</v>
      </c>
      <c r="C244" s="738">
        <v>41275</v>
      </c>
      <c r="D244" s="655" t="s">
        <v>529</v>
      </c>
      <c r="E244" s="654" t="s">
        <v>295</v>
      </c>
      <c r="F244" s="655" t="s">
        <v>7</v>
      </c>
      <c r="G244" s="31" t="s">
        <v>19</v>
      </c>
      <c r="H244" s="31" t="s">
        <v>78</v>
      </c>
      <c r="I244" s="31">
        <v>220</v>
      </c>
      <c r="J244" s="61"/>
      <c r="K244" s="61"/>
      <c r="L244" s="61"/>
      <c r="M244" s="61"/>
      <c r="N244" s="61"/>
      <c r="O244" s="61"/>
      <c r="P244" s="61"/>
      <c r="Q244" s="61"/>
      <c r="R244" s="708"/>
      <c r="S244" s="61"/>
      <c r="T244" s="150">
        <f>IF(NFI_Expiration=1,IF($A244&lt;VLOOKUP(I$5,NFI,5,0),1,0)*Data_NFI_t[[#This Row],[Hygiene Kit]],0)</f>
        <v>0</v>
      </c>
      <c r="U244" s="150">
        <f>IF(NFI_Expiration=1,IF($A244&lt;VLOOKUP(J$5,NFI,5,0),1,0)*Data_NFI_t[[#This Row],[NFI Core Kit]],0)</f>
        <v>0</v>
      </c>
      <c r="V244" s="131">
        <f>IF(NFI_Expiration=1,IF($A244&lt;VLOOKUP(K$5,NFI,5,0),1,0)*Data_NFI_t[[#This Row],[Sanitary Kit]],0)</f>
        <v>0</v>
      </c>
      <c r="W244" s="131">
        <f>IF(NFI_Expiration=1,IF($A244&lt;VLOOKUP(L$5,NFI,5,0),1,0)*Data_NFI_t[[#This Row],[Mosquito net]],0)</f>
        <v>0</v>
      </c>
      <c r="X244" s="131">
        <f>IF(NFI_Expiration=1,IF($A244&lt;VLOOKUP(M$5,NFI,5,0),1,0)*Data_NFI_t[[#This Row],[Tarpaulin]],0)</f>
        <v>0</v>
      </c>
      <c r="Y244" s="131">
        <f>IF(NFI_Expiration=1,IF($A244&lt;VLOOKUP(N$5,NFI,5,0),1,0)*Data_NFI_t[[#This Row],[Blanket]],0)</f>
        <v>0</v>
      </c>
      <c r="Z244" s="131">
        <f>IF(NFI_Expiration=1,IF($A244&lt;VLOOKUP(O$5,NFI,5,0),1,0)*Data_NFI_t[[#This Row],[Kitchen Set]],0)</f>
        <v>0</v>
      </c>
      <c r="AA244" s="131">
        <f>IF(NFI_Expiration=1,IF($A244&lt;VLOOKUP(P$5,NFI,5,0),1,0)*Data_NFI_t[[#This Row],[Complementary Kit]],0)</f>
        <v>0</v>
      </c>
      <c r="AB244" s="131">
        <f>IF(NFI_Expiration=1,IF($A244&lt;VLOOKUP(Q$5,NFI,5,0),1,0)*Data_NFI_t[[#This Row],[Plastic Bucket]],0)</f>
        <v>0</v>
      </c>
      <c r="AC244" s="131">
        <f>IF(NFI_Expiration=1,IF($A244&lt;VLOOKUP(R$5,NFI,5,0),1,0)*Data_NFI_t[[#This Row],[Jerry Can]],0)</f>
        <v>0</v>
      </c>
      <c r="AD244" s="150">
        <f>IF(NFI_Expiration=1,IF($A244&lt;VLOOKUP(S$5,NFI,5,0),1,0)*Data_NFI_t[[#This Row],[Plastic Mat]],0)*IF(Data_NFI_t[[#This Row],[Distribution Date]]&gt;"01-04-2014",1,2.5)</f>
        <v>0</v>
      </c>
      <c r="AE244" s="150" t="str">
        <f ca="1">IFERROR(OFFSET(Camp_List[P_Code],MATCH(Data_NFI_t[[#This Row],[Camp Name]],Camp_List[Camp Name],0)-1,0,1,1),"")</f>
        <v>MMR012CMP056</v>
      </c>
      <c r="AF244" s="714" t="str">
        <f ca="1">IFERROR(OFFSET(Camp_List[Status],MATCH(Data_NFI_t[[#This Row],[Camp Name]],Camp_List[Camp Name],0)-1,0,1,1),"")</f>
        <v>Open</v>
      </c>
    </row>
    <row r="245" spans="1:32" s="102" customFormat="1" ht="15" customHeight="1" x14ac:dyDescent="0.25">
      <c r="A245" s="265">
        <f t="shared" si="3"/>
        <v>35.466666666666669</v>
      </c>
      <c r="B245" s="265">
        <f>YEAR(Data_NFI_t[[#This Row],[Distribution Date]])</f>
        <v>2013</v>
      </c>
      <c r="C245" s="738">
        <v>41275</v>
      </c>
      <c r="D245" s="655" t="s">
        <v>529</v>
      </c>
      <c r="E245" s="654" t="s">
        <v>295</v>
      </c>
      <c r="F245" s="655" t="s">
        <v>7</v>
      </c>
      <c r="G245" s="31" t="s">
        <v>19</v>
      </c>
      <c r="H245" s="31" t="s">
        <v>68</v>
      </c>
      <c r="I245" s="31">
        <v>2939</v>
      </c>
      <c r="J245" s="61"/>
      <c r="K245" s="61"/>
      <c r="L245" s="61"/>
      <c r="M245" s="61"/>
      <c r="N245" s="61"/>
      <c r="O245" s="61"/>
      <c r="P245" s="61"/>
      <c r="Q245" s="61"/>
      <c r="R245" s="708"/>
      <c r="S245" s="61"/>
      <c r="T245" s="150">
        <f>IF(NFI_Expiration=1,IF($A245&lt;VLOOKUP(I$5,NFI,5,0),1,0)*Data_NFI_t[[#This Row],[Hygiene Kit]],0)</f>
        <v>0</v>
      </c>
      <c r="U245" s="150">
        <f>IF(NFI_Expiration=1,IF($A245&lt;VLOOKUP(J$5,NFI,5,0),1,0)*Data_NFI_t[[#This Row],[NFI Core Kit]],0)</f>
        <v>0</v>
      </c>
      <c r="V245" s="131">
        <f>IF(NFI_Expiration=1,IF($A245&lt;VLOOKUP(K$5,NFI,5,0),1,0)*Data_NFI_t[[#This Row],[Sanitary Kit]],0)</f>
        <v>0</v>
      </c>
      <c r="W245" s="131">
        <f>IF(NFI_Expiration=1,IF($A245&lt;VLOOKUP(L$5,NFI,5,0),1,0)*Data_NFI_t[[#This Row],[Mosquito net]],0)</f>
        <v>0</v>
      </c>
      <c r="X245" s="131">
        <f>IF(NFI_Expiration=1,IF($A245&lt;VLOOKUP(M$5,NFI,5,0),1,0)*Data_NFI_t[[#This Row],[Tarpaulin]],0)</f>
        <v>0</v>
      </c>
      <c r="Y245" s="131">
        <f>IF(NFI_Expiration=1,IF($A245&lt;VLOOKUP(N$5,NFI,5,0),1,0)*Data_NFI_t[[#This Row],[Blanket]],0)</f>
        <v>0</v>
      </c>
      <c r="Z245" s="131">
        <f>IF(NFI_Expiration=1,IF($A245&lt;VLOOKUP(O$5,NFI,5,0),1,0)*Data_NFI_t[[#This Row],[Kitchen Set]],0)</f>
        <v>0</v>
      </c>
      <c r="AA245" s="131">
        <f>IF(NFI_Expiration=1,IF($A245&lt;VLOOKUP(P$5,NFI,5,0),1,0)*Data_NFI_t[[#This Row],[Complementary Kit]],0)</f>
        <v>0</v>
      </c>
      <c r="AB245" s="131">
        <f>IF(NFI_Expiration=1,IF($A245&lt;VLOOKUP(Q$5,NFI,5,0),1,0)*Data_NFI_t[[#This Row],[Plastic Bucket]],0)</f>
        <v>0</v>
      </c>
      <c r="AC245" s="131">
        <f>IF(NFI_Expiration=1,IF($A245&lt;VLOOKUP(R$5,NFI,5,0),1,0)*Data_NFI_t[[#This Row],[Jerry Can]],0)</f>
        <v>0</v>
      </c>
      <c r="AD245" s="150">
        <f>IF(NFI_Expiration=1,IF($A245&lt;VLOOKUP(S$5,NFI,5,0),1,0)*Data_NFI_t[[#This Row],[Plastic Mat]],0)*IF(Data_NFI_t[[#This Row],[Distribution Date]]&gt;"01-04-2014",1,2.5)</f>
        <v>0</v>
      </c>
      <c r="AE245" s="150" t="str">
        <f ca="1">IFERROR(OFFSET(Camp_List[P_Code],MATCH(Data_NFI_t[[#This Row],[Camp Name]],Camp_List[Camp Name],0)-1,0,1,1),"")</f>
        <v>MMR012CMP046</v>
      </c>
      <c r="AF245" s="714" t="str">
        <f ca="1">IFERROR(OFFSET(Camp_List[Status],MATCH(Data_NFI_t[[#This Row],[Camp Name]],Camp_List[Camp Name],0)-1,0,1,1),"")</f>
        <v>Open</v>
      </c>
    </row>
    <row r="246" spans="1:32" s="102" customFormat="1" ht="15" customHeight="1" x14ac:dyDescent="0.25">
      <c r="A246" s="265">
        <f t="shared" si="3"/>
        <v>35.733333333333334</v>
      </c>
      <c r="B246" s="265">
        <f>YEAR(Data_NFI_t[[#This Row],[Distribution Date]])</f>
        <v>2012</v>
      </c>
      <c r="C246" s="738">
        <v>41267</v>
      </c>
      <c r="D246" s="655" t="s">
        <v>288</v>
      </c>
      <c r="E246" s="654"/>
      <c r="F246" s="655" t="s">
        <v>7</v>
      </c>
      <c r="G246" s="31" t="s">
        <v>14</v>
      </c>
      <c r="H246" s="31" t="s">
        <v>40</v>
      </c>
      <c r="I246" s="31"/>
      <c r="J246" s="61"/>
      <c r="K246" s="61"/>
      <c r="L246" s="61"/>
      <c r="M246" s="61">
        <v>758</v>
      </c>
      <c r="N246" s="61"/>
      <c r="O246" s="61"/>
      <c r="P246" s="61"/>
      <c r="Q246" s="61"/>
      <c r="R246" s="708"/>
      <c r="S246" s="61"/>
      <c r="T246" s="150">
        <f>IF(NFI_Expiration=1,IF($A246&lt;VLOOKUP(I$5,NFI,5,0),1,0)*Data_NFI_t[[#This Row],[Hygiene Kit]],0)</f>
        <v>0</v>
      </c>
      <c r="U246" s="150">
        <f>IF(NFI_Expiration=1,IF($A246&lt;VLOOKUP(J$5,NFI,5,0),1,0)*Data_NFI_t[[#This Row],[NFI Core Kit]],0)</f>
        <v>0</v>
      </c>
      <c r="V246" s="131">
        <f>IF(NFI_Expiration=1,IF($A246&lt;VLOOKUP(K$5,NFI,5,0),1,0)*Data_NFI_t[[#This Row],[Sanitary Kit]],0)</f>
        <v>0</v>
      </c>
      <c r="W246" s="131">
        <f>IF(NFI_Expiration=1,IF($A246&lt;VLOOKUP(L$5,NFI,5,0),1,0)*Data_NFI_t[[#This Row],[Mosquito net]],0)</f>
        <v>0</v>
      </c>
      <c r="X246" s="131">
        <f>IF(NFI_Expiration=1,IF($A246&lt;VLOOKUP(M$5,NFI,5,0),1,0)*Data_NFI_t[[#This Row],[Tarpaulin]],0)</f>
        <v>0</v>
      </c>
      <c r="Y246" s="131">
        <f>IF(NFI_Expiration=1,IF($A246&lt;VLOOKUP(N$5,NFI,5,0),1,0)*Data_NFI_t[[#This Row],[Blanket]],0)</f>
        <v>0</v>
      </c>
      <c r="Z246" s="131">
        <f>IF(NFI_Expiration=1,IF($A246&lt;VLOOKUP(O$5,NFI,5,0),1,0)*Data_NFI_t[[#This Row],[Kitchen Set]],0)</f>
        <v>0</v>
      </c>
      <c r="AA246" s="131">
        <f>IF(NFI_Expiration=1,IF($A246&lt;VLOOKUP(P$5,NFI,5,0),1,0)*Data_NFI_t[[#This Row],[Complementary Kit]],0)</f>
        <v>0</v>
      </c>
      <c r="AB246" s="131">
        <f>IF(NFI_Expiration=1,IF($A246&lt;VLOOKUP(Q$5,NFI,5,0),1,0)*Data_NFI_t[[#This Row],[Plastic Bucket]],0)</f>
        <v>0</v>
      </c>
      <c r="AC246" s="131">
        <f>IF(NFI_Expiration=1,IF($A246&lt;VLOOKUP(R$5,NFI,5,0),1,0)*Data_NFI_t[[#This Row],[Jerry Can]],0)</f>
        <v>0</v>
      </c>
      <c r="AD246" s="150">
        <f>IF(NFI_Expiration=1,IF($A246&lt;VLOOKUP(S$5,NFI,5,0),1,0)*Data_NFI_t[[#This Row],[Plastic Mat]],0)*IF(Data_NFI_t[[#This Row],[Distribution Date]]&gt;"01-04-2014",1,2.5)</f>
        <v>0</v>
      </c>
      <c r="AE246" s="150" t="str">
        <f ca="1">IFERROR(OFFSET(Camp_List[P_Code],MATCH(Data_NFI_t[[#This Row],[Camp Name]],Camp_List[Camp Name],0)-1,0,1,1),"")</f>
        <v>MMR012CMP016</v>
      </c>
      <c r="AF246" s="714" t="str">
        <f ca="1">IFERROR(OFFSET(Camp_List[Status],MATCH(Data_NFI_t[[#This Row],[Camp Name]],Camp_List[Camp Name],0)-1,0,1,1),"")</f>
        <v>Open</v>
      </c>
    </row>
    <row r="247" spans="1:32" s="102" customFormat="1" ht="15" customHeight="1" x14ac:dyDescent="0.25">
      <c r="A247" s="265">
        <f t="shared" si="3"/>
        <v>35.733333333333334</v>
      </c>
      <c r="B247" s="265">
        <f>YEAR(Data_NFI_t[[#This Row],[Distribution Date]])</f>
        <v>2012</v>
      </c>
      <c r="C247" s="738">
        <v>41267</v>
      </c>
      <c r="D247" s="655" t="s">
        <v>288</v>
      </c>
      <c r="E247" s="654"/>
      <c r="F247" s="655" t="s">
        <v>7</v>
      </c>
      <c r="G247" s="31" t="s">
        <v>14</v>
      </c>
      <c r="H247" s="31" t="s">
        <v>41</v>
      </c>
      <c r="I247" s="31"/>
      <c r="J247" s="61"/>
      <c r="K247" s="61"/>
      <c r="L247" s="61"/>
      <c r="M247" s="61">
        <v>1306</v>
      </c>
      <c r="N247" s="61"/>
      <c r="O247" s="61"/>
      <c r="P247" s="61"/>
      <c r="Q247" s="61"/>
      <c r="R247" s="708"/>
      <c r="S247" s="61"/>
      <c r="T247" s="150">
        <f>IF(NFI_Expiration=1,IF($A247&lt;VLOOKUP(I$5,NFI,5,0),1,0)*Data_NFI_t[[#This Row],[Hygiene Kit]],0)</f>
        <v>0</v>
      </c>
      <c r="U247" s="150">
        <f>IF(NFI_Expiration=1,IF($A247&lt;VLOOKUP(J$5,NFI,5,0),1,0)*Data_NFI_t[[#This Row],[NFI Core Kit]],0)</f>
        <v>0</v>
      </c>
      <c r="V247" s="131">
        <f>IF(NFI_Expiration=1,IF($A247&lt;VLOOKUP(K$5,NFI,5,0),1,0)*Data_NFI_t[[#This Row],[Sanitary Kit]],0)</f>
        <v>0</v>
      </c>
      <c r="W247" s="131">
        <f>IF(NFI_Expiration=1,IF($A247&lt;VLOOKUP(L$5,NFI,5,0),1,0)*Data_NFI_t[[#This Row],[Mosquito net]],0)</f>
        <v>0</v>
      </c>
      <c r="X247" s="131">
        <f>IF(NFI_Expiration=1,IF($A247&lt;VLOOKUP(M$5,NFI,5,0),1,0)*Data_NFI_t[[#This Row],[Tarpaulin]],0)</f>
        <v>0</v>
      </c>
      <c r="Y247" s="131">
        <f>IF(NFI_Expiration=1,IF($A247&lt;VLOOKUP(N$5,NFI,5,0),1,0)*Data_NFI_t[[#This Row],[Blanket]],0)</f>
        <v>0</v>
      </c>
      <c r="Z247" s="131">
        <f>IF(NFI_Expiration=1,IF($A247&lt;VLOOKUP(O$5,NFI,5,0),1,0)*Data_NFI_t[[#This Row],[Kitchen Set]],0)</f>
        <v>0</v>
      </c>
      <c r="AA247" s="131">
        <f>IF(NFI_Expiration=1,IF($A247&lt;VLOOKUP(P$5,NFI,5,0),1,0)*Data_NFI_t[[#This Row],[Complementary Kit]],0)</f>
        <v>0</v>
      </c>
      <c r="AB247" s="131">
        <f>IF(NFI_Expiration=1,IF($A247&lt;VLOOKUP(Q$5,NFI,5,0),1,0)*Data_NFI_t[[#This Row],[Plastic Bucket]],0)</f>
        <v>0</v>
      </c>
      <c r="AC247" s="131">
        <f>IF(NFI_Expiration=1,IF($A247&lt;VLOOKUP(R$5,NFI,5,0),1,0)*Data_NFI_t[[#This Row],[Jerry Can]],0)</f>
        <v>0</v>
      </c>
      <c r="AD247" s="150">
        <f>IF(NFI_Expiration=1,IF($A247&lt;VLOOKUP(S$5,NFI,5,0),1,0)*Data_NFI_t[[#This Row],[Plastic Mat]],0)*IF(Data_NFI_t[[#This Row],[Distribution Date]]&gt;"01-04-2014",1,2.5)</f>
        <v>0</v>
      </c>
      <c r="AE247" s="150" t="str">
        <f ca="1">IFERROR(OFFSET(Camp_List[P_Code],MATCH(Data_NFI_t[[#This Row],[Camp Name]],Camp_List[Camp Name],0)-1,0,1,1),"")</f>
        <v>MMR012CMP017</v>
      </c>
      <c r="AF247" s="714" t="str">
        <f ca="1">IFERROR(OFFSET(Camp_List[Status],MATCH(Data_NFI_t[[#This Row],[Camp Name]],Camp_List[Camp Name],0)-1,0,1,1),"")</f>
        <v>Open</v>
      </c>
    </row>
    <row r="248" spans="1:32" s="102" customFormat="1" ht="15" customHeight="1" x14ac:dyDescent="0.25">
      <c r="A248" s="265">
        <f t="shared" si="3"/>
        <v>35.733333333333334</v>
      </c>
      <c r="B248" s="265">
        <f>YEAR(Data_NFI_t[[#This Row],[Distribution Date]])</f>
        <v>2012</v>
      </c>
      <c r="C248" s="738">
        <v>41267</v>
      </c>
      <c r="D248" s="655" t="s">
        <v>288</v>
      </c>
      <c r="E248" s="654"/>
      <c r="F248" s="655" t="s">
        <v>7</v>
      </c>
      <c r="G248" s="31" t="s">
        <v>14</v>
      </c>
      <c r="H248" s="31" t="s">
        <v>43</v>
      </c>
      <c r="I248" s="31"/>
      <c r="J248" s="61"/>
      <c r="K248" s="61"/>
      <c r="L248" s="61"/>
      <c r="M248" s="61">
        <v>796</v>
      </c>
      <c r="N248" s="61"/>
      <c r="O248" s="61"/>
      <c r="P248" s="61"/>
      <c r="Q248" s="61"/>
      <c r="R248" s="708"/>
      <c r="S248" s="61"/>
      <c r="T248" s="150">
        <f>IF(NFI_Expiration=1,IF($A248&lt;VLOOKUP(I$5,NFI,5,0),1,0)*Data_NFI_t[[#This Row],[Hygiene Kit]],0)</f>
        <v>0</v>
      </c>
      <c r="U248" s="150">
        <f>IF(NFI_Expiration=1,IF($A248&lt;VLOOKUP(J$5,NFI,5,0),1,0)*Data_NFI_t[[#This Row],[NFI Core Kit]],0)</f>
        <v>0</v>
      </c>
      <c r="V248" s="131">
        <f>IF(NFI_Expiration=1,IF($A248&lt;VLOOKUP(K$5,NFI,5,0),1,0)*Data_NFI_t[[#This Row],[Sanitary Kit]],0)</f>
        <v>0</v>
      </c>
      <c r="W248" s="131">
        <f>IF(NFI_Expiration=1,IF($A248&lt;VLOOKUP(L$5,NFI,5,0),1,0)*Data_NFI_t[[#This Row],[Mosquito net]],0)</f>
        <v>0</v>
      </c>
      <c r="X248" s="131">
        <f>IF(NFI_Expiration=1,IF($A248&lt;VLOOKUP(M$5,NFI,5,0),1,0)*Data_NFI_t[[#This Row],[Tarpaulin]],0)</f>
        <v>0</v>
      </c>
      <c r="Y248" s="131">
        <f>IF(NFI_Expiration=1,IF($A248&lt;VLOOKUP(N$5,NFI,5,0),1,0)*Data_NFI_t[[#This Row],[Blanket]],0)</f>
        <v>0</v>
      </c>
      <c r="Z248" s="131">
        <f>IF(NFI_Expiration=1,IF($A248&lt;VLOOKUP(O$5,NFI,5,0),1,0)*Data_NFI_t[[#This Row],[Kitchen Set]],0)</f>
        <v>0</v>
      </c>
      <c r="AA248" s="131">
        <f>IF(NFI_Expiration=1,IF($A248&lt;VLOOKUP(P$5,NFI,5,0),1,0)*Data_NFI_t[[#This Row],[Complementary Kit]],0)</f>
        <v>0</v>
      </c>
      <c r="AB248" s="131">
        <f>IF(NFI_Expiration=1,IF($A248&lt;VLOOKUP(Q$5,NFI,5,0),1,0)*Data_NFI_t[[#This Row],[Plastic Bucket]],0)</f>
        <v>0</v>
      </c>
      <c r="AC248" s="131">
        <f>IF(NFI_Expiration=1,IF($A248&lt;VLOOKUP(R$5,NFI,5,0),1,0)*Data_NFI_t[[#This Row],[Jerry Can]],0)</f>
        <v>0</v>
      </c>
      <c r="AD248" s="150">
        <f>IF(NFI_Expiration=1,IF($A248&lt;VLOOKUP(S$5,NFI,5,0),1,0)*Data_NFI_t[[#This Row],[Plastic Mat]],0)*IF(Data_NFI_t[[#This Row],[Distribution Date]]&gt;"01-04-2014",1,2.5)</f>
        <v>0</v>
      </c>
      <c r="AE248" s="150" t="str">
        <f ca="1">IFERROR(OFFSET(Camp_List[P_Code],MATCH(Data_NFI_t[[#This Row],[Camp Name]],Camp_List[Camp Name],0)-1,0,1,1),"")</f>
        <v>MMR012CMP019</v>
      </c>
      <c r="AF248" s="714" t="str">
        <f ca="1">IFERROR(OFFSET(Camp_List[Status],MATCH(Data_NFI_t[[#This Row],[Camp Name]],Camp_List[Camp Name],0)-1,0,1,1),"")</f>
        <v>Open</v>
      </c>
    </row>
    <row r="249" spans="1:32" s="102" customFormat="1" ht="15" customHeight="1" x14ac:dyDescent="0.25">
      <c r="A249" s="265">
        <f t="shared" si="3"/>
        <v>35.766666666666666</v>
      </c>
      <c r="B249" s="265">
        <f>YEAR(Data_NFI_t[[#This Row],[Distribution Date]])</f>
        <v>2012</v>
      </c>
      <c r="C249" s="738">
        <v>41266</v>
      </c>
      <c r="D249" s="655" t="s">
        <v>288</v>
      </c>
      <c r="E249" s="654"/>
      <c r="F249" s="655" t="s">
        <v>7</v>
      </c>
      <c r="G249" s="31" t="s">
        <v>20</v>
      </c>
      <c r="H249" s="31"/>
      <c r="I249" s="31"/>
      <c r="J249" s="61"/>
      <c r="K249" s="61">
        <v>3000</v>
      </c>
      <c r="L249" s="61"/>
      <c r="M249" s="61"/>
      <c r="N249" s="61"/>
      <c r="O249" s="61"/>
      <c r="P249" s="61"/>
      <c r="Q249" s="61"/>
      <c r="R249" s="708"/>
      <c r="S249" s="61"/>
      <c r="T249" s="150">
        <f>IF(NFI_Expiration=1,IF($A249&lt;VLOOKUP(I$5,NFI,5,0),1,0)*Data_NFI_t[[#This Row],[Hygiene Kit]],0)</f>
        <v>0</v>
      </c>
      <c r="U249" s="150">
        <f>IF(NFI_Expiration=1,IF($A249&lt;VLOOKUP(J$5,NFI,5,0),1,0)*Data_NFI_t[[#This Row],[NFI Core Kit]],0)</f>
        <v>0</v>
      </c>
      <c r="V249" s="131">
        <f>IF(NFI_Expiration=1,IF($A249&lt;VLOOKUP(K$5,NFI,5,0),1,0)*Data_NFI_t[[#This Row],[Sanitary Kit]],0)</f>
        <v>0</v>
      </c>
      <c r="W249" s="131">
        <f>IF(NFI_Expiration=1,IF($A249&lt;VLOOKUP(L$5,NFI,5,0),1,0)*Data_NFI_t[[#This Row],[Mosquito net]],0)</f>
        <v>0</v>
      </c>
      <c r="X249" s="131">
        <f>IF(NFI_Expiration=1,IF($A249&lt;VLOOKUP(M$5,NFI,5,0),1,0)*Data_NFI_t[[#This Row],[Tarpaulin]],0)</f>
        <v>0</v>
      </c>
      <c r="Y249" s="131">
        <f>IF(NFI_Expiration=1,IF($A249&lt;VLOOKUP(N$5,NFI,5,0),1,0)*Data_NFI_t[[#This Row],[Blanket]],0)</f>
        <v>0</v>
      </c>
      <c r="Z249" s="131">
        <f>IF(NFI_Expiration=1,IF($A249&lt;VLOOKUP(O$5,NFI,5,0),1,0)*Data_NFI_t[[#This Row],[Kitchen Set]],0)</f>
        <v>0</v>
      </c>
      <c r="AA249" s="131">
        <f>IF(NFI_Expiration=1,IF($A249&lt;VLOOKUP(P$5,NFI,5,0),1,0)*Data_NFI_t[[#This Row],[Complementary Kit]],0)</f>
        <v>0</v>
      </c>
      <c r="AB249" s="131">
        <f>IF(NFI_Expiration=1,IF($A249&lt;VLOOKUP(Q$5,NFI,5,0),1,0)*Data_NFI_t[[#This Row],[Plastic Bucket]],0)</f>
        <v>0</v>
      </c>
      <c r="AC249" s="131">
        <f>IF(NFI_Expiration=1,IF($A249&lt;VLOOKUP(R$5,NFI,5,0),1,0)*Data_NFI_t[[#This Row],[Jerry Can]],0)</f>
        <v>0</v>
      </c>
      <c r="AD249" s="150">
        <f>IF(NFI_Expiration=1,IF($A249&lt;VLOOKUP(S$5,NFI,5,0),1,0)*Data_NFI_t[[#This Row],[Plastic Mat]],0)*IF(Data_NFI_t[[#This Row],[Distribution Date]]&gt;"01-04-2014",1,2.5)</f>
        <v>0</v>
      </c>
      <c r="AE249" s="150" t="str">
        <f ca="1">IFERROR(OFFSET(Camp_List[P_Code],MATCH(Data_NFI_t[[#This Row],[Camp Name]],Camp_List[Camp Name],0)-1,0,1,1),"")</f>
        <v/>
      </c>
      <c r="AF249" s="714" t="str">
        <f ca="1">IFERROR(OFFSET(Camp_List[Status],MATCH(Data_NFI_t[[#This Row],[Camp Name]],Camp_List[Camp Name],0)-1,0,1,1),"")</f>
        <v/>
      </c>
    </row>
    <row r="250" spans="1:32" s="102" customFormat="1" ht="15" customHeight="1" x14ac:dyDescent="0.25">
      <c r="A250" s="265">
        <f t="shared" si="3"/>
        <v>35.766666666666666</v>
      </c>
      <c r="B250" s="265">
        <f>YEAR(Data_NFI_t[[#This Row],[Distribution Date]])</f>
        <v>2012</v>
      </c>
      <c r="C250" s="738">
        <v>41266</v>
      </c>
      <c r="D250" s="655" t="s">
        <v>288</v>
      </c>
      <c r="E250" s="654"/>
      <c r="F250" s="655" t="s">
        <v>7</v>
      </c>
      <c r="G250" s="31" t="s">
        <v>20</v>
      </c>
      <c r="H250" s="31"/>
      <c r="I250" s="31"/>
      <c r="J250" s="61"/>
      <c r="K250" s="61"/>
      <c r="L250" s="61"/>
      <c r="M250" s="61">
        <v>1180</v>
      </c>
      <c r="N250" s="61"/>
      <c r="O250" s="61"/>
      <c r="P250" s="61"/>
      <c r="Q250" s="61"/>
      <c r="R250" s="708"/>
      <c r="S250" s="61"/>
      <c r="T250" s="150">
        <f>IF(NFI_Expiration=1,IF($A250&lt;VLOOKUP(I$5,NFI,5,0),1,0)*Data_NFI_t[[#This Row],[Hygiene Kit]],0)</f>
        <v>0</v>
      </c>
      <c r="U250" s="150">
        <f>IF(NFI_Expiration=1,IF($A250&lt;VLOOKUP(J$5,NFI,5,0),1,0)*Data_NFI_t[[#This Row],[NFI Core Kit]],0)</f>
        <v>0</v>
      </c>
      <c r="V250" s="131">
        <f>IF(NFI_Expiration=1,IF($A250&lt;VLOOKUP(K$5,NFI,5,0),1,0)*Data_NFI_t[[#This Row],[Sanitary Kit]],0)</f>
        <v>0</v>
      </c>
      <c r="W250" s="131">
        <f>IF(NFI_Expiration=1,IF($A250&lt;VLOOKUP(L$5,NFI,5,0),1,0)*Data_NFI_t[[#This Row],[Mosquito net]],0)</f>
        <v>0</v>
      </c>
      <c r="X250" s="131">
        <f>IF(NFI_Expiration=1,IF($A250&lt;VLOOKUP(M$5,NFI,5,0),1,0)*Data_NFI_t[[#This Row],[Tarpaulin]],0)</f>
        <v>0</v>
      </c>
      <c r="Y250" s="131">
        <f>IF(NFI_Expiration=1,IF($A250&lt;VLOOKUP(N$5,NFI,5,0),1,0)*Data_NFI_t[[#This Row],[Blanket]],0)</f>
        <v>0</v>
      </c>
      <c r="Z250" s="131">
        <f>IF(NFI_Expiration=1,IF($A250&lt;VLOOKUP(O$5,NFI,5,0),1,0)*Data_NFI_t[[#This Row],[Kitchen Set]],0)</f>
        <v>0</v>
      </c>
      <c r="AA250" s="131">
        <f>IF(NFI_Expiration=1,IF($A250&lt;VLOOKUP(P$5,NFI,5,0),1,0)*Data_NFI_t[[#This Row],[Complementary Kit]],0)</f>
        <v>0</v>
      </c>
      <c r="AB250" s="131">
        <f>IF(NFI_Expiration=1,IF($A250&lt;VLOOKUP(Q$5,NFI,5,0),1,0)*Data_NFI_t[[#This Row],[Plastic Bucket]],0)</f>
        <v>0</v>
      </c>
      <c r="AC250" s="131">
        <f>IF(NFI_Expiration=1,IF($A250&lt;VLOOKUP(R$5,NFI,5,0),1,0)*Data_NFI_t[[#This Row],[Jerry Can]],0)</f>
        <v>0</v>
      </c>
      <c r="AD250" s="150">
        <f>IF(NFI_Expiration=1,IF($A250&lt;VLOOKUP(S$5,NFI,5,0),1,0)*Data_NFI_t[[#This Row],[Plastic Mat]],0)*IF(Data_NFI_t[[#This Row],[Distribution Date]]&gt;"01-04-2014",1,2.5)</f>
        <v>0</v>
      </c>
      <c r="AE250" s="150" t="str">
        <f ca="1">IFERROR(OFFSET(Camp_List[P_Code],MATCH(Data_NFI_t[[#This Row],[Camp Name]],Camp_List[Camp Name],0)-1,0,1,1),"")</f>
        <v/>
      </c>
      <c r="AF250" s="714" t="str">
        <f ca="1">IFERROR(OFFSET(Camp_List[Status],MATCH(Data_NFI_t[[#This Row],[Camp Name]],Camp_List[Camp Name],0)-1,0,1,1),"")</f>
        <v/>
      </c>
    </row>
    <row r="251" spans="1:32" s="102" customFormat="1" ht="15" customHeight="1" x14ac:dyDescent="0.25">
      <c r="A251" s="265">
        <f t="shared" si="3"/>
        <v>35.93333333333333</v>
      </c>
      <c r="B251" s="265">
        <f>YEAR(Data_NFI_t[[#This Row],[Distribution Date]])</f>
        <v>2012</v>
      </c>
      <c r="C251" s="738">
        <v>41261</v>
      </c>
      <c r="D251" s="655" t="s">
        <v>288</v>
      </c>
      <c r="E251" s="654"/>
      <c r="F251" s="655" t="s">
        <v>7</v>
      </c>
      <c r="G251" s="31" t="s">
        <v>15</v>
      </c>
      <c r="H251" s="31" t="s">
        <v>47</v>
      </c>
      <c r="I251" s="31"/>
      <c r="J251" s="61"/>
      <c r="K251" s="61"/>
      <c r="L251" s="61">
        <v>160</v>
      </c>
      <c r="M251" s="61">
        <v>80</v>
      </c>
      <c r="N251" s="61">
        <v>160</v>
      </c>
      <c r="O251" s="61">
        <v>80</v>
      </c>
      <c r="P251" s="61">
        <v>80</v>
      </c>
      <c r="Q251" s="61"/>
      <c r="R251" s="708"/>
      <c r="S251" s="61"/>
      <c r="T251" s="150">
        <f>IF(NFI_Expiration=1,IF($A251&lt;VLOOKUP(I$5,NFI,5,0),1,0)*Data_NFI_t[[#This Row],[Hygiene Kit]],0)</f>
        <v>0</v>
      </c>
      <c r="U251" s="150">
        <f>IF(NFI_Expiration=1,IF($A251&lt;VLOOKUP(J$5,NFI,5,0),1,0)*Data_NFI_t[[#This Row],[NFI Core Kit]],0)</f>
        <v>0</v>
      </c>
      <c r="V251" s="131">
        <f>IF(NFI_Expiration=1,IF($A251&lt;VLOOKUP(K$5,NFI,5,0),1,0)*Data_NFI_t[[#This Row],[Sanitary Kit]],0)</f>
        <v>0</v>
      </c>
      <c r="W251" s="131">
        <f>IF(NFI_Expiration=1,IF($A251&lt;VLOOKUP(L$5,NFI,5,0),1,0)*Data_NFI_t[[#This Row],[Mosquito net]],0)</f>
        <v>0</v>
      </c>
      <c r="X251" s="131">
        <f>IF(NFI_Expiration=1,IF($A251&lt;VLOOKUP(M$5,NFI,5,0),1,0)*Data_NFI_t[[#This Row],[Tarpaulin]],0)</f>
        <v>0</v>
      </c>
      <c r="Y251" s="131">
        <f>IF(NFI_Expiration=1,IF($A251&lt;VLOOKUP(N$5,NFI,5,0),1,0)*Data_NFI_t[[#This Row],[Blanket]],0)</f>
        <v>0</v>
      </c>
      <c r="Z251" s="131">
        <f>IF(NFI_Expiration=1,IF($A251&lt;VLOOKUP(O$5,NFI,5,0),1,0)*Data_NFI_t[[#This Row],[Kitchen Set]],0)</f>
        <v>0</v>
      </c>
      <c r="AA251" s="131">
        <f>IF(NFI_Expiration=1,IF($A251&lt;VLOOKUP(P$5,NFI,5,0),1,0)*Data_NFI_t[[#This Row],[Complementary Kit]],0)</f>
        <v>0</v>
      </c>
      <c r="AB251" s="131">
        <f>IF(NFI_Expiration=1,IF($A251&lt;VLOOKUP(Q$5,NFI,5,0),1,0)*Data_NFI_t[[#This Row],[Plastic Bucket]],0)</f>
        <v>0</v>
      </c>
      <c r="AC251" s="131">
        <f>IF(NFI_Expiration=1,IF($A251&lt;VLOOKUP(R$5,NFI,5,0),1,0)*Data_NFI_t[[#This Row],[Jerry Can]],0)</f>
        <v>0</v>
      </c>
      <c r="AD251" s="150">
        <f>IF(NFI_Expiration=1,IF($A251&lt;VLOOKUP(S$5,NFI,5,0),1,0)*Data_NFI_t[[#This Row],[Plastic Mat]],0)*IF(Data_NFI_t[[#This Row],[Distribution Date]]&gt;"01-04-2014",1,2.5)</f>
        <v>0</v>
      </c>
      <c r="AE251" s="150" t="str">
        <f ca="1">IFERROR(OFFSET(Camp_List[P_Code],MATCH(Data_NFI_t[[#This Row],[Camp Name]],Camp_List[Camp Name],0)-1,0,1,1),"")</f>
        <v>MMR012CMP023</v>
      </c>
      <c r="AF251" s="714" t="str">
        <f ca="1">IFERROR(OFFSET(Camp_List[Status],MATCH(Data_NFI_t[[#This Row],[Camp Name]],Camp_List[Camp Name],0)-1,0,1,1),"")</f>
        <v>Open</v>
      </c>
    </row>
    <row r="252" spans="1:32" s="102" customFormat="1" ht="15" customHeight="1" x14ac:dyDescent="0.25">
      <c r="A252" s="265">
        <f t="shared" si="3"/>
        <v>35.93333333333333</v>
      </c>
      <c r="B252" s="265">
        <f>YEAR(Data_NFI_t[[#This Row],[Distribution Date]])</f>
        <v>2012</v>
      </c>
      <c r="C252" s="738">
        <v>41261</v>
      </c>
      <c r="D252" s="655" t="s">
        <v>288</v>
      </c>
      <c r="E252" s="654"/>
      <c r="F252" s="655" t="s">
        <v>7</v>
      </c>
      <c r="G252" s="31" t="s">
        <v>15</v>
      </c>
      <c r="H252" s="31" t="s">
        <v>45</v>
      </c>
      <c r="I252" s="31"/>
      <c r="J252" s="61"/>
      <c r="K252" s="61"/>
      <c r="L252" s="61">
        <v>174</v>
      </c>
      <c r="M252" s="61"/>
      <c r="N252" s="61">
        <v>174</v>
      </c>
      <c r="O252" s="61"/>
      <c r="P252" s="61"/>
      <c r="Q252" s="61"/>
      <c r="R252" s="708"/>
      <c r="S252" s="61"/>
      <c r="T252" s="150">
        <f>IF(NFI_Expiration=1,IF($A252&lt;VLOOKUP(I$5,NFI,5,0),1,0)*Data_NFI_t[[#This Row],[Hygiene Kit]],0)</f>
        <v>0</v>
      </c>
      <c r="U252" s="150">
        <f>IF(NFI_Expiration=1,IF($A252&lt;VLOOKUP(J$5,NFI,5,0),1,0)*Data_NFI_t[[#This Row],[NFI Core Kit]],0)</f>
        <v>0</v>
      </c>
      <c r="V252" s="131">
        <f>IF(NFI_Expiration=1,IF($A252&lt;VLOOKUP(K$5,NFI,5,0),1,0)*Data_NFI_t[[#This Row],[Sanitary Kit]],0)</f>
        <v>0</v>
      </c>
      <c r="W252" s="131">
        <f>IF(NFI_Expiration=1,IF($A252&lt;VLOOKUP(L$5,NFI,5,0),1,0)*Data_NFI_t[[#This Row],[Mosquito net]],0)</f>
        <v>0</v>
      </c>
      <c r="X252" s="131">
        <f>IF(NFI_Expiration=1,IF($A252&lt;VLOOKUP(M$5,NFI,5,0),1,0)*Data_NFI_t[[#This Row],[Tarpaulin]],0)</f>
        <v>0</v>
      </c>
      <c r="Y252" s="131">
        <f>IF(NFI_Expiration=1,IF($A252&lt;VLOOKUP(N$5,NFI,5,0),1,0)*Data_NFI_t[[#This Row],[Blanket]],0)</f>
        <v>0</v>
      </c>
      <c r="Z252" s="131">
        <f>IF(NFI_Expiration=1,IF($A252&lt;VLOOKUP(O$5,NFI,5,0),1,0)*Data_NFI_t[[#This Row],[Kitchen Set]],0)</f>
        <v>0</v>
      </c>
      <c r="AA252" s="131">
        <f>IF(NFI_Expiration=1,IF($A252&lt;VLOOKUP(P$5,NFI,5,0),1,0)*Data_NFI_t[[#This Row],[Complementary Kit]],0)</f>
        <v>0</v>
      </c>
      <c r="AB252" s="131">
        <f>IF(NFI_Expiration=1,IF($A252&lt;VLOOKUP(Q$5,NFI,5,0),1,0)*Data_NFI_t[[#This Row],[Plastic Bucket]],0)</f>
        <v>0</v>
      </c>
      <c r="AC252" s="131">
        <f>IF(NFI_Expiration=1,IF($A252&lt;VLOOKUP(R$5,NFI,5,0),1,0)*Data_NFI_t[[#This Row],[Jerry Can]],0)</f>
        <v>0</v>
      </c>
      <c r="AD252" s="150">
        <f>IF(NFI_Expiration=1,IF($A252&lt;VLOOKUP(S$5,NFI,5,0),1,0)*Data_NFI_t[[#This Row],[Plastic Mat]],0)*IF(Data_NFI_t[[#This Row],[Distribution Date]]&gt;"01-04-2014",1,2.5)</f>
        <v>0</v>
      </c>
      <c r="AE252" s="150" t="str">
        <f ca="1">IFERROR(OFFSET(Camp_List[P_Code],MATCH(Data_NFI_t[[#This Row],[Camp Name]],Camp_List[Camp Name],0)-1,0,1,1),"")</f>
        <v>MMR012CMP021</v>
      </c>
      <c r="AF252" s="714" t="str">
        <f ca="1">IFERROR(OFFSET(Camp_List[Status],MATCH(Data_NFI_t[[#This Row],[Camp Name]],Camp_List[Camp Name],0)-1,0,1,1),"")</f>
        <v>Open</v>
      </c>
    </row>
    <row r="253" spans="1:32" s="102" customFormat="1" ht="15" customHeight="1" x14ac:dyDescent="0.25">
      <c r="A253" s="265">
        <f t="shared" si="3"/>
        <v>35.966666666666669</v>
      </c>
      <c r="B253" s="265">
        <f>YEAR(Data_NFI_t[[#This Row],[Distribution Date]])</f>
        <v>2012</v>
      </c>
      <c r="C253" s="738">
        <v>41260</v>
      </c>
      <c r="D253" s="655" t="s">
        <v>288</v>
      </c>
      <c r="E253" s="654"/>
      <c r="F253" s="655" t="s">
        <v>7</v>
      </c>
      <c r="G253" s="31" t="s">
        <v>915</v>
      </c>
      <c r="H253" s="31" t="s">
        <v>38</v>
      </c>
      <c r="I253" s="31"/>
      <c r="J253" s="61"/>
      <c r="K253" s="61"/>
      <c r="L253" s="61">
        <v>632</v>
      </c>
      <c r="M253" s="61"/>
      <c r="N253" s="61">
        <v>632</v>
      </c>
      <c r="O253" s="61"/>
      <c r="P253" s="61"/>
      <c r="Q253" s="61"/>
      <c r="R253" s="708"/>
      <c r="S253" s="61"/>
      <c r="T253" s="150">
        <f>IF(NFI_Expiration=1,IF($A253&lt;VLOOKUP(I$5,NFI,5,0),1,0)*Data_NFI_t[[#This Row],[Hygiene Kit]],0)</f>
        <v>0</v>
      </c>
      <c r="U253" s="150">
        <f>IF(NFI_Expiration=1,IF($A253&lt;VLOOKUP(J$5,NFI,5,0),1,0)*Data_NFI_t[[#This Row],[NFI Core Kit]],0)</f>
        <v>0</v>
      </c>
      <c r="V253" s="131">
        <f>IF(NFI_Expiration=1,IF($A253&lt;VLOOKUP(K$5,NFI,5,0),1,0)*Data_NFI_t[[#This Row],[Sanitary Kit]],0)</f>
        <v>0</v>
      </c>
      <c r="W253" s="131">
        <f>IF(NFI_Expiration=1,IF($A253&lt;VLOOKUP(L$5,NFI,5,0),1,0)*Data_NFI_t[[#This Row],[Mosquito net]],0)</f>
        <v>0</v>
      </c>
      <c r="X253" s="131">
        <f>IF(NFI_Expiration=1,IF($A253&lt;VLOOKUP(M$5,NFI,5,0),1,0)*Data_NFI_t[[#This Row],[Tarpaulin]],0)</f>
        <v>0</v>
      </c>
      <c r="Y253" s="131">
        <f>IF(NFI_Expiration=1,IF($A253&lt;VLOOKUP(N$5,NFI,5,0),1,0)*Data_NFI_t[[#This Row],[Blanket]],0)</f>
        <v>0</v>
      </c>
      <c r="Z253" s="131">
        <f>IF(NFI_Expiration=1,IF($A253&lt;VLOOKUP(O$5,NFI,5,0),1,0)*Data_NFI_t[[#This Row],[Kitchen Set]],0)</f>
        <v>0</v>
      </c>
      <c r="AA253" s="131">
        <f>IF(NFI_Expiration=1,IF($A253&lt;VLOOKUP(P$5,NFI,5,0),1,0)*Data_NFI_t[[#This Row],[Complementary Kit]],0)</f>
        <v>0</v>
      </c>
      <c r="AB253" s="131">
        <f>IF(NFI_Expiration=1,IF($A253&lt;VLOOKUP(Q$5,NFI,5,0),1,0)*Data_NFI_t[[#This Row],[Plastic Bucket]],0)</f>
        <v>0</v>
      </c>
      <c r="AC253" s="131">
        <f>IF(NFI_Expiration=1,IF($A253&lt;VLOOKUP(R$5,NFI,5,0),1,0)*Data_NFI_t[[#This Row],[Jerry Can]],0)</f>
        <v>0</v>
      </c>
      <c r="AD253" s="150">
        <f>IF(NFI_Expiration=1,IF($A253&lt;VLOOKUP(S$5,NFI,5,0),1,0)*Data_NFI_t[[#This Row],[Plastic Mat]],0)*IF(Data_NFI_t[[#This Row],[Distribution Date]]&gt;"01-04-2014",1,2.5)</f>
        <v>0</v>
      </c>
      <c r="AE253" s="150" t="str">
        <f ca="1">IFERROR(OFFSET(Camp_List[P_Code],MATCH(Data_NFI_t[[#This Row],[Camp Name]],Camp_List[Camp Name],0)-1,0,1,1),"")</f>
        <v>MMR012CMP014</v>
      </c>
      <c r="AF253" s="714" t="str">
        <f ca="1">IFERROR(OFFSET(Camp_List[Status],MATCH(Data_NFI_t[[#This Row],[Camp Name]],Camp_List[Camp Name],0)-1,0,1,1),"")</f>
        <v>Open</v>
      </c>
    </row>
    <row r="254" spans="1:32" s="102" customFormat="1" ht="15" customHeight="1" x14ac:dyDescent="0.25">
      <c r="A254" s="265">
        <f t="shared" si="3"/>
        <v>35.966666666666669</v>
      </c>
      <c r="B254" s="265">
        <f>YEAR(Data_NFI_t[[#This Row],[Distribution Date]])</f>
        <v>2012</v>
      </c>
      <c r="C254" s="738">
        <v>41260</v>
      </c>
      <c r="D254" s="655" t="s">
        <v>288</v>
      </c>
      <c r="E254" s="654"/>
      <c r="F254" s="655" t="s">
        <v>7</v>
      </c>
      <c r="G254" s="31" t="s">
        <v>11</v>
      </c>
      <c r="H254" s="31" t="s">
        <v>26</v>
      </c>
      <c r="I254" s="31"/>
      <c r="J254" s="61"/>
      <c r="K254" s="61"/>
      <c r="L254" s="61">
        <v>406</v>
      </c>
      <c r="M254" s="61"/>
      <c r="N254" s="61"/>
      <c r="O254" s="61"/>
      <c r="P254" s="61"/>
      <c r="Q254" s="61"/>
      <c r="R254" s="708"/>
      <c r="S254" s="61"/>
      <c r="T254" s="150">
        <f>IF(NFI_Expiration=1,IF($A254&lt;VLOOKUP(I$5,NFI,5,0),1,0)*Data_NFI_t[[#This Row],[Hygiene Kit]],0)</f>
        <v>0</v>
      </c>
      <c r="U254" s="150">
        <f>IF(NFI_Expiration=1,IF($A254&lt;VLOOKUP(J$5,NFI,5,0),1,0)*Data_NFI_t[[#This Row],[NFI Core Kit]],0)</f>
        <v>0</v>
      </c>
      <c r="V254" s="131">
        <f>IF(NFI_Expiration=1,IF($A254&lt;VLOOKUP(K$5,NFI,5,0),1,0)*Data_NFI_t[[#This Row],[Sanitary Kit]],0)</f>
        <v>0</v>
      </c>
      <c r="W254" s="131">
        <f>IF(NFI_Expiration=1,IF($A254&lt;VLOOKUP(L$5,NFI,5,0),1,0)*Data_NFI_t[[#This Row],[Mosquito net]],0)</f>
        <v>0</v>
      </c>
      <c r="X254" s="131">
        <f>IF(NFI_Expiration=1,IF($A254&lt;VLOOKUP(M$5,NFI,5,0),1,0)*Data_NFI_t[[#This Row],[Tarpaulin]],0)</f>
        <v>0</v>
      </c>
      <c r="Y254" s="131">
        <f>IF(NFI_Expiration=1,IF($A254&lt;VLOOKUP(N$5,NFI,5,0),1,0)*Data_NFI_t[[#This Row],[Blanket]],0)</f>
        <v>0</v>
      </c>
      <c r="Z254" s="131">
        <f>IF(NFI_Expiration=1,IF($A254&lt;VLOOKUP(O$5,NFI,5,0),1,0)*Data_NFI_t[[#This Row],[Kitchen Set]],0)</f>
        <v>0</v>
      </c>
      <c r="AA254" s="131">
        <f>IF(NFI_Expiration=1,IF($A254&lt;VLOOKUP(P$5,NFI,5,0),1,0)*Data_NFI_t[[#This Row],[Complementary Kit]],0)</f>
        <v>0</v>
      </c>
      <c r="AB254" s="131">
        <f>IF(NFI_Expiration=1,IF($A254&lt;VLOOKUP(Q$5,NFI,5,0),1,0)*Data_NFI_t[[#This Row],[Plastic Bucket]],0)</f>
        <v>0</v>
      </c>
      <c r="AC254" s="131">
        <f>IF(NFI_Expiration=1,IF($A254&lt;VLOOKUP(R$5,NFI,5,0),1,0)*Data_NFI_t[[#This Row],[Jerry Can]],0)</f>
        <v>0</v>
      </c>
      <c r="AD254" s="150">
        <f>IF(NFI_Expiration=1,IF($A254&lt;VLOOKUP(S$5,NFI,5,0),1,0)*Data_NFI_t[[#This Row],[Plastic Mat]],0)*IF(Data_NFI_t[[#This Row],[Distribution Date]]&gt;"01-04-2014",1,2.5)</f>
        <v>0</v>
      </c>
      <c r="AE254" s="150" t="str">
        <f ca="1">IFERROR(OFFSET(Camp_List[P_Code],MATCH(Data_NFI_t[[#This Row],[Camp Name]],Camp_List[Camp Name],0)-1,0,1,1),"")</f>
        <v>MMR012CMP002</v>
      </c>
      <c r="AF254" s="714" t="str">
        <f ca="1">IFERROR(OFFSET(Camp_List[Status],MATCH(Data_NFI_t[[#This Row],[Camp Name]],Camp_List[Camp Name],0)-1,0,1,1),"")</f>
        <v>Open</v>
      </c>
    </row>
    <row r="255" spans="1:32" s="102" customFormat="1" ht="15" customHeight="1" x14ac:dyDescent="0.25">
      <c r="A255" s="265">
        <f t="shared" si="3"/>
        <v>36</v>
      </c>
      <c r="B255" s="265">
        <f>YEAR(Data_NFI_t[[#This Row],[Distribution Date]])</f>
        <v>2012</v>
      </c>
      <c r="C255" s="738">
        <v>41259</v>
      </c>
      <c r="D255" s="655" t="s">
        <v>292</v>
      </c>
      <c r="E255" s="654" t="s">
        <v>288</v>
      </c>
      <c r="F255" s="655" t="s">
        <v>7</v>
      </c>
      <c r="G255" s="31" t="s">
        <v>19</v>
      </c>
      <c r="H255" s="31" t="s">
        <v>71</v>
      </c>
      <c r="I255" s="31"/>
      <c r="J255" s="61"/>
      <c r="K255" s="61"/>
      <c r="L255" s="61"/>
      <c r="M255" s="61"/>
      <c r="N255" s="61">
        <v>49</v>
      </c>
      <c r="O255" s="61"/>
      <c r="P255" s="61"/>
      <c r="Q255" s="61"/>
      <c r="R255" s="708"/>
      <c r="S255" s="61"/>
      <c r="T255" s="150">
        <f>IF(NFI_Expiration=1,IF($A255&lt;VLOOKUP(I$5,NFI,5,0),1,0)*Data_NFI_t[[#This Row],[Hygiene Kit]],0)</f>
        <v>0</v>
      </c>
      <c r="U255" s="150">
        <f>IF(NFI_Expiration=1,IF($A255&lt;VLOOKUP(J$5,NFI,5,0),1,0)*Data_NFI_t[[#This Row],[NFI Core Kit]],0)</f>
        <v>0</v>
      </c>
      <c r="V255" s="131">
        <f>IF(NFI_Expiration=1,IF($A255&lt;VLOOKUP(K$5,NFI,5,0),1,0)*Data_NFI_t[[#This Row],[Sanitary Kit]],0)</f>
        <v>0</v>
      </c>
      <c r="W255" s="131">
        <f>IF(NFI_Expiration=1,IF($A255&lt;VLOOKUP(L$5,NFI,5,0),1,0)*Data_NFI_t[[#This Row],[Mosquito net]],0)</f>
        <v>0</v>
      </c>
      <c r="X255" s="131">
        <f>IF(NFI_Expiration=1,IF($A255&lt;VLOOKUP(M$5,NFI,5,0),1,0)*Data_NFI_t[[#This Row],[Tarpaulin]],0)</f>
        <v>0</v>
      </c>
      <c r="Y255" s="131">
        <f>IF(NFI_Expiration=1,IF($A255&lt;VLOOKUP(N$5,NFI,5,0),1,0)*Data_NFI_t[[#This Row],[Blanket]],0)</f>
        <v>0</v>
      </c>
      <c r="Z255" s="131">
        <f>IF(NFI_Expiration=1,IF($A255&lt;VLOOKUP(O$5,NFI,5,0),1,0)*Data_NFI_t[[#This Row],[Kitchen Set]],0)</f>
        <v>0</v>
      </c>
      <c r="AA255" s="131">
        <f>IF(NFI_Expiration=1,IF($A255&lt;VLOOKUP(P$5,NFI,5,0),1,0)*Data_NFI_t[[#This Row],[Complementary Kit]],0)</f>
        <v>0</v>
      </c>
      <c r="AB255" s="131">
        <f>IF(NFI_Expiration=1,IF($A255&lt;VLOOKUP(Q$5,NFI,5,0),1,0)*Data_NFI_t[[#This Row],[Plastic Bucket]],0)</f>
        <v>0</v>
      </c>
      <c r="AC255" s="131">
        <f>IF(NFI_Expiration=1,IF($A255&lt;VLOOKUP(R$5,NFI,5,0),1,0)*Data_NFI_t[[#This Row],[Jerry Can]],0)</f>
        <v>0</v>
      </c>
      <c r="AD255" s="150">
        <f>IF(NFI_Expiration=1,IF($A255&lt;VLOOKUP(S$5,NFI,5,0),1,0)*Data_NFI_t[[#This Row],[Plastic Mat]],0)*IF(Data_NFI_t[[#This Row],[Distribution Date]]&gt;"01-04-2014",1,2.5)</f>
        <v>0</v>
      </c>
      <c r="AE255" s="150" t="str">
        <f ca="1">IFERROR(OFFSET(Camp_List[P_Code],MATCH(Data_NFI_t[[#This Row],[Camp Name]],Camp_List[Camp Name],0)-1,0,1,1),"")</f>
        <v>MMR012CMP049</v>
      </c>
      <c r="AF255" s="714" t="str">
        <f ca="1">IFERROR(OFFSET(Camp_List[Status],MATCH(Data_NFI_t[[#This Row],[Camp Name]],Camp_List[Camp Name],0)-1,0,1,1),"")</f>
        <v>Close</v>
      </c>
    </row>
    <row r="256" spans="1:32" s="102" customFormat="1" ht="15" customHeight="1" x14ac:dyDescent="0.25">
      <c r="A256" s="265">
        <f t="shared" si="3"/>
        <v>36</v>
      </c>
      <c r="B256" s="265">
        <f>YEAR(Data_NFI_t[[#This Row],[Distribution Date]])</f>
        <v>2012</v>
      </c>
      <c r="C256" s="738">
        <v>41259</v>
      </c>
      <c r="D256" s="655" t="s">
        <v>292</v>
      </c>
      <c r="E256" s="654" t="s">
        <v>288</v>
      </c>
      <c r="F256" s="655" t="s">
        <v>7</v>
      </c>
      <c r="G256" s="31" t="s">
        <v>19</v>
      </c>
      <c r="H256" s="31" t="s">
        <v>71</v>
      </c>
      <c r="I256" s="31"/>
      <c r="J256" s="61"/>
      <c r="K256" s="61"/>
      <c r="L256" s="61"/>
      <c r="M256" s="61"/>
      <c r="N256" s="61">
        <v>11</v>
      </c>
      <c r="O256" s="61"/>
      <c r="P256" s="61"/>
      <c r="Q256" s="61"/>
      <c r="R256" s="708"/>
      <c r="S256" s="61"/>
      <c r="T256" s="150">
        <f>IF(NFI_Expiration=1,IF($A256&lt;VLOOKUP(I$5,NFI,5,0),1,0)*Data_NFI_t[[#This Row],[Hygiene Kit]],0)</f>
        <v>0</v>
      </c>
      <c r="U256" s="150">
        <f>IF(NFI_Expiration=1,IF($A256&lt;VLOOKUP(J$5,NFI,5,0),1,0)*Data_NFI_t[[#This Row],[NFI Core Kit]],0)</f>
        <v>0</v>
      </c>
      <c r="V256" s="131">
        <f>IF(NFI_Expiration=1,IF($A256&lt;VLOOKUP(K$5,NFI,5,0),1,0)*Data_NFI_t[[#This Row],[Sanitary Kit]],0)</f>
        <v>0</v>
      </c>
      <c r="W256" s="131">
        <f>IF(NFI_Expiration=1,IF($A256&lt;VLOOKUP(L$5,NFI,5,0),1,0)*Data_NFI_t[[#This Row],[Mosquito net]],0)</f>
        <v>0</v>
      </c>
      <c r="X256" s="131">
        <f>IF(NFI_Expiration=1,IF($A256&lt;VLOOKUP(M$5,NFI,5,0),1,0)*Data_NFI_t[[#This Row],[Tarpaulin]],0)</f>
        <v>0</v>
      </c>
      <c r="Y256" s="131">
        <f>IF(NFI_Expiration=1,IF($A256&lt;VLOOKUP(N$5,NFI,5,0),1,0)*Data_NFI_t[[#This Row],[Blanket]],0)</f>
        <v>0</v>
      </c>
      <c r="Z256" s="131">
        <f>IF(NFI_Expiration=1,IF($A256&lt;VLOOKUP(O$5,NFI,5,0),1,0)*Data_NFI_t[[#This Row],[Kitchen Set]],0)</f>
        <v>0</v>
      </c>
      <c r="AA256" s="131">
        <f>IF(NFI_Expiration=1,IF($A256&lt;VLOOKUP(P$5,NFI,5,0),1,0)*Data_NFI_t[[#This Row],[Complementary Kit]],0)</f>
        <v>0</v>
      </c>
      <c r="AB256" s="131">
        <f>IF(NFI_Expiration=1,IF($A256&lt;VLOOKUP(Q$5,NFI,5,0),1,0)*Data_NFI_t[[#This Row],[Plastic Bucket]],0)</f>
        <v>0</v>
      </c>
      <c r="AC256" s="131">
        <f>IF(NFI_Expiration=1,IF($A256&lt;VLOOKUP(R$5,NFI,5,0),1,0)*Data_NFI_t[[#This Row],[Jerry Can]],0)</f>
        <v>0</v>
      </c>
      <c r="AD256" s="150">
        <f>IF(NFI_Expiration=1,IF($A256&lt;VLOOKUP(S$5,NFI,5,0),1,0)*Data_NFI_t[[#This Row],[Plastic Mat]],0)*IF(Data_NFI_t[[#This Row],[Distribution Date]]&gt;"01-04-2014",1,2.5)</f>
        <v>0</v>
      </c>
      <c r="AE256" s="150" t="str">
        <f ca="1">IFERROR(OFFSET(Camp_List[P_Code],MATCH(Data_NFI_t[[#This Row],[Camp Name]],Camp_List[Camp Name],0)-1,0,1,1),"")</f>
        <v>MMR012CMP049</v>
      </c>
      <c r="AF256" s="714" t="str">
        <f ca="1">IFERROR(OFFSET(Camp_List[Status],MATCH(Data_NFI_t[[#This Row],[Camp Name]],Camp_List[Camp Name],0)-1,0,1,1),"")</f>
        <v>Close</v>
      </c>
    </row>
    <row r="257" spans="1:32" s="102" customFormat="1" ht="15" customHeight="1" x14ac:dyDescent="0.25">
      <c r="A257" s="265">
        <f t="shared" si="3"/>
        <v>36.033333333333331</v>
      </c>
      <c r="B257" s="265">
        <f>YEAR(Data_NFI_t[[#This Row],[Distribution Date]])</f>
        <v>2012</v>
      </c>
      <c r="C257" s="738">
        <v>41258</v>
      </c>
      <c r="D257" s="655" t="s">
        <v>288</v>
      </c>
      <c r="E257" s="654"/>
      <c r="F257" s="655" t="s">
        <v>7</v>
      </c>
      <c r="G257" s="31" t="s">
        <v>11</v>
      </c>
      <c r="H257" s="31" t="s">
        <v>30</v>
      </c>
      <c r="I257" s="31"/>
      <c r="J257" s="61"/>
      <c r="K257" s="61"/>
      <c r="L257" s="61">
        <v>172</v>
      </c>
      <c r="M257" s="61"/>
      <c r="N257" s="61"/>
      <c r="O257" s="61"/>
      <c r="P257" s="61"/>
      <c r="Q257" s="61"/>
      <c r="R257" s="708"/>
      <c r="S257" s="61"/>
      <c r="T257" s="150">
        <f>IF(NFI_Expiration=1,IF($A257&lt;VLOOKUP(I$5,NFI,5,0),1,0)*Data_NFI_t[[#This Row],[Hygiene Kit]],0)</f>
        <v>0</v>
      </c>
      <c r="U257" s="150">
        <f>IF(NFI_Expiration=1,IF($A257&lt;VLOOKUP(J$5,NFI,5,0),1,0)*Data_NFI_t[[#This Row],[NFI Core Kit]],0)</f>
        <v>0</v>
      </c>
      <c r="V257" s="131">
        <f>IF(NFI_Expiration=1,IF($A257&lt;VLOOKUP(K$5,NFI,5,0),1,0)*Data_NFI_t[[#This Row],[Sanitary Kit]],0)</f>
        <v>0</v>
      </c>
      <c r="W257" s="131">
        <f>IF(NFI_Expiration=1,IF($A257&lt;VLOOKUP(L$5,NFI,5,0),1,0)*Data_NFI_t[[#This Row],[Mosquito net]],0)</f>
        <v>0</v>
      </c>
      <c r="X257" s="131">
        <f>IF(NFI_Expiration=1,IF($A257&lt;VLOOKUP(M$5,NFI,5,0),1,0)*Data_NFI_t[[#This Row],[Tarpaulin]],0)</f>
        <v>0</v>
      </c>
      <c r="Y257" s="131">
        <f>IF(NFI_Expiration=1,IF($A257&lt;VLOOKUP(N$5,NFI,5,0),1,0)*Data_NFI_t[[#This Row],[Blanket]],0)</f>
        <v>0</v>
      </c>
      <c r="Z257" s="131">
        <f>IF(NFI_Expiration=1,IF($A257&lt;VLOOKUP(O$5,NFI,5,0),1,0)*Data_NFI_t[[#This Row],[Kitchen Set]],0)</f>
        <v>0</v>
      </c>
      <c r="AA257" s="131">
        <f>IF(NFI_Expiration=1,IF($A257&lt;VLOOKUP(P$5,NFI,5,0),1,0)*Data_NFI_t[[#This Row],[Complementary Kit]],0)</f>
        <v>0</v>
      </c>
      <c r="AB257" s="131">
        <f>IF(NFI_Expiration=1,IF($A257&lt;VLOOKUP(Q$5,NFI,5,0),1,0)*Data_NFI_t[[#This Row],[Plastic Bucket]],0)</f>
        <v>0</v>
      </c>
      <c r="AC257" s="131">
        <f>IF(NFI_Expiration=1,IF($A257&lt;VLOOKUP(R$5,NFI,5,0),1,0)*Data_NFI_t[[#This Row],[Jerry Can]],0)</f>
        <v>0</v>
      </c>
      <c r="AD257" s="150">
        <f>IF(NFI_Expiration=1,IF($A257&lt;VLOOKUP(S$5,NFI,5,0),1,0)*Data_NFI_t[[#This Row],[Plastic Mat]],0)*IF(Data_NFI_t[[#This Row],[Distribution Date]]&gt;"01-04-2014",1,2.5)</f>
        <v>0</v>
      </c>
      <c r="AE257" s="150" t="str">
        <f ca="1">IFERROR(OFFSET(Camp_List[P_Code],MATCH(Data_NFI_t[[#This Row],[Camp Name]],Camp_List[Camp Name],0)-1,0,1,1),"")</f>
        <v>MMR012CMP006</v>
      </c>
      <c r="AF257" s="714" t="str">
        <f ca="1">IFERROR(OFFSET(Camp_List[Status],MATCH(Data_NFI_t[[#This Row],[Camp Name]],Camp_List[Camp Name],0)-1,0,1,1),"")</f>
        <v>Open</v>
      </c>
    </row>
    <row r="258" spans="1:32" s="102" customFormat="1" ht="15" customHeight="1" x14ac:dyDescent="0.25">
      <c r="A258" s="265">
        <f t="shared" si="3"/>
        <v>36.033333333333331</v>
      </c>
      <c r="B258" s="265">
        <f>YEAR(Data_NFI_t[[#This Row],[Distribution Date]])</f>
        <v>2012</v>
      </c>
      <c r="C258" s="738">
        <v>41258</v>
      </c>
      <c r="D258" s="655" t="s">
        <v>288</v>
      </c>
      <c r="E258" s="654"/>
      <c r="F258" s="655" t="s">
        <v>7</v>
      </c>
      <c r="G258" s="31" t="s">
        <v>11</v>
      </c>
      <c r="H258" s="31" t="s">
        <v>28</v>
      </c>
      <c r="I258" s="31"/>
      <c r="J258" s="61"/>
      <c r="K258" s="61"/>
      <c r="L258" s="61"/>
      <c r="M258" s="61"/>
      <c r="N258" s="61">
        <v>156</v>
      </c>
      <c r="O258" s="61"/>
      <c r="P258" s="61"/>
      <c r="Q258" s="61"/>
      <c r="R258" s="708"/>
      <c r="S258" s="61"/>
      <c r="T258" s="150">
        <f>IF(NFI_Expiration=1,IF($A258&lt;VLOOKUP(I$5,NFI,5,0),1,0)*Data_NFI_t[[#This Row],[Hygiene Kit]],0)</f>
        <v>0</v>
      </c>
      <c r="U258" s="150">
        <f>IF(NFI_Expiration=1,IF($A258&lt;VLOOKUP(J$5,NFI,5,0),1,0)*Data_NFI_t[[#This Row],[NFI Core Kit]],0)</f>
        <v>0</v>
      </c>
      <c r="V258" s="131">
        <f>IF(NFI_Expiration=1,IF($A258&lt;VLOOKUP(K$5,NFI,5,0),1,0)*Data_NFI_t[[#This Row],[Sanitary Kit]],0)</f>
        <v>0</v>
      </c>
      <c r="W258" s="131">
        <f>IF(NFI_Expiration=1,IF($A258&lt;VLOOKUP(L$5,NFI,5,0),1,0)*Data_NFI_t[[#This Row],[Mosquito net]],0)</f>
        <v>0</v>
      </c>
      <c r="X258" s="131">
        <f>IF(NFI_Expiration=1,IF($A258&lt;VLOOKUP(M$5,NFI,5,0),1,0)*Data_NFI_t[[#This Row],[Tarpaulin]],0)</f>
        <v>0</v>
      </c>
      <c r="Y258" s="131">
        <f>IF(NFI_Expiration=1,IF($A258&lt;VLOOKUP(N$5,NFI,5,0),1,0)*Data_NFI_t[[#This Row],[Blanket]],0)</f>
        <v>0</v>
      </c>
      <c r="Z258" s="131">
        <f>IF(NFI_Expiration=1,IF($A258&lt;VLOOKUP(O$5,NFI,5,0),1,0)*Data_NFI_t[[#This Row],[Kitchen Set]],0)</f>
        <v>0</v>
      </c>
      <c r="AA258" s="131">
        <f>IF(NFI_Expiration=1,IF($A258&lt;VLOOKUP(P$5,NFI,5,0),1,0)*Data_NFI_t[[#This Row],[Complementary Kit]],0)</f>
        <v>0</v>
      </c>
      <c r="AB258" s="131">
        <f>IF(NFI_Expiration=1,IF($A258&lt;VLOOKUP(Q$5,NFI,5,0),1,0)*Data_NFI_t[[#This Row],[Plastic Bucket]],0)</f>
        <v>0</v>
      </c>
      <c r="AC258" s="131">
        <f>IF(NFI_Expiration=1,IF($A258&lt;VLOOKUP(R$5,NFI,5,0),1,0)*Data_NFI_t[[#This Row],[Jerry Can]],0)</f>
        <v>0</v>
      </c>
      <c r="AD258" s="150">
        <f>IF(NFI_Expiration=1,IF($A258&lt;VLOOKUP(S$5,NFI,5,0),1,0)*Data_NFI_t[[#This Row],[Plastic Mat]],0)*IF(Data_NFI_t[[#This Row],[Distribution Date]]&gt;"01-04-2014",1,2.5)</f>
        <v>0</v>
      </c>
      <c r="AE258" s="150" t="str">
        <f ca="1">IFERROR(OFFSET(Camp_List[P_Code],MATCH(Data_NFI_t[[#This Row],[Camp Name]],Camp_List[Camp Name],0)-1,0,1,1),"")</f>
        <v>MMR012CMP004</v>
      </c>
      <c r="AF258" s="714" t="str">
        <f ca="1">IFERROR(OFFSET(Camp_List[Status],MATCH(Data_NFI_t[[#This Row],[Camp Name]],Camp_List[Camp Name],0)-1,0,1,1),"")</f>
        <v>Close</v>
      </c>
    </row>
    <row r="259" spans="1:32" s="102" customFormat="1" ht="15" customHeight="1" x14ac:dyDescent="0.25">
      <c r="A259" s="265">
        <f t="shared" si="3"/>
        <v>36.033333333333331</v>
      </c>
      <c r="B259" s="265">
        <f>YEAR(Data_NFI_t[[#This Row],[Distribution Date]])</f>
        <v>2012</v>
      </c>
      <c r="C259" s="738">
        <v>41258</v>
      </c>
      <c r="D259" s="655" t="s">
        <v>288</v>
      </c>
      <c r="E259" s="654"/>
      <c r="F259" s="655" t="s">
        <v>7</v>
      </c>
      <c r="G259" s="31" t="s">
        <v>12</v>
      </c>
      <c r="H259" s="31" t="s">
        <v>33</v>
      </c>
      <c r="I259" s="31"/>
      <c r="J259" s="61"/>
      <c r="K259" s="61"/>
      <c r="L259" s="61">
        <v>240</v>
      </c>
      <c r="M259" s="61"/>
      <c r="N259" s="61"/>
      <c r="O259" s="61"/>
      <c r="P259" s="61"/>
      <c r="Q259" s="61"/>
      <c r="R259" s="708"/>
      <c r="S259" s="61"/>
      <c r="T259" s="150">
        <f>IF(NFI_Expiration=1,IF($A259&lt;VLOOKUP(I$5,NFI,5,0),1,0)*Data_NFI_t[[#This Row],[Hygiene Kit]],0)</f>
        <v>0</v>
      </c>
      <c r="U259" s="150">
        <f>IF(NFI_Expiration=1,IF($A259&lt;VLOOKUP(J$5,NFI,5,0),1,0)*Data_NFI_t[[#This Row],[NFI Core Kit]],0)</f>
        <v>0</v>
      </c>
      <c r="V259" s="131">
        <f>IF(NFI_Expiration=1,IF($A259&lt;VLOOKUP(K$5,NFI,5,0),1,0)*Data_NFI_t[[#This Row],[Sanitary Kit]],0)</f>
        <v>0</v>
      </c>
      <c r="W259" s="131">
        <f>IF(NFI_Expiration=1,IF($A259&lt;VLOOKUP(L$5,NFI,5,0),1,0)*Data_NFI_t[[#This Row],[Mosquito net]],0)</f>
        <v>0</v>
      </c>
      <c r="X259" s="131">
        <f>IF(NFI_Expiration=1,IF($A259&lt;VLOOKUP(M$5,NFI,5,0),1,0)*Data_NFI_t[[#This Row],[Tarpaulin]],0)</f>
        <v>0</v>
      </c>
      <c r="Y259" s="131">
        <f>IF(NFI_Expiration=1,IF($A259&lt;VLOOKUP(N$5,NFI,5,0),1,0)*Data_NFI_t[[#This Row],[Blanket]],0)</f>
        <v>0</v>
      </c>
      <c r="Z259" s="131">
        <f>IF(NFI_Expiration=1,IF($A259&lt;VLOOKUP(O$5,NFI,5,0),1,0)*Data_NFI_t[[#This Row],[Kitchen Set]],0)</f>
        <v>0</v>
      </c>
      <c r="AA259" s="131">
        <f>IF(NFI_Expiration=1,IF($A259&lt;VLOOKUP(P$5,NFI,5,0),1,0)*Data_NFI_t[[#This Row],[Complementary Kit]],0)</f>
        <v>0</v>
      </c>
      <c r="AB259" s="131">
        <f>IF(NFI_Expiration=1,IF($A259&lt;VLOOKUP(Q$5,NFI,5,0),1,0)*Data_NFI_t[[#This Row],[Plastic Bucket]],0)</f>
        <v>0</v>
      </c>
      <c r="AC259" s="131">
        <f>IF(NFI_Expiration=1,IF($A259&lt;VLOOKUP(R$5,NFI,5,0),1,0)*Data_NFI_t[[#This Row],[Jerry Can]],0)</f>
        <v>0</v>
      </c>
      <c r="AD259" s="150">
        <f>IF(NFI_Expiration=1,IF($A259&lt;VLOOKUP(S$5,NFI,5,0),1,0)*Data_NFI_t[[#This Row],[Plastic Mat]],0)*IF(Data_NFI_t[[#This Row],[Distribution Date]]&gt;"01-04-2014",1,2.5)</f>
        <v>0</v>
      </c>
      <c r="AE259" s="150" t="str">
        <f ca="1">IFERROR(OFFSET(Camp_List[P_Code],MATCH(Data_NFI_t[[#This Row],[Camp Name]],Camp_List[Camp Name],0)-1,0,1,1),"")</f>
        <v>MMR012CMP009</v>
      </c>
      <c r="AF259" s="714" t="str">
        <f ca="1">IFERROR(OFFSET(Camp_List[Status],MATCH(Data_NFI_t[[#This Row],[Camp Name]],Camp_List[Camp Name],0)-1,0,1,1),"")</f>
        <v>Open</v>
      </c>
    </row>
    <row r="260" spans="1:32" s="102" customFormat="1" ht="15" customHeight="1" x14ac:dyDescent="0.25">
      <c r="A260" s="265">
        <f t="shared" si="3"/>
        <v>36.033333333333331</v>
      </c>
      <c r="B260" s="265">
        <f>YEAR(Data_NFI_t[[#This Row],[Distribution Date]])</f>
        <v>2012</v>
      </c>
      <c r="C260" s="738">
        <v>41258</v>
      </c>
      <c r="D260" s="655" t="s">
        <v>288</v>
      </c>
      <c r="E260" s="654"/>
      <c r="F260" s="655" t="s">
        <v>7</v>
      </c>
      <c r="G260" s="31" t="s">
        <v>11</v>
      </c>
      <c r="H260" s="31" t="s">
        <v>32</v>
      </c>
      <c r="I260" s="31"/>
      <c r="J260" s="61"/>
      <c r="K260" s="61"/>
      <c r="L260" s="61">
        <v>200</v>
      </c>
      <c r="M260" s="61"/>
      <c r="N260" s="61"/>
      <c r="O260" s="61"/>
      <c r="P260" s="61"/>
      <c r="Q260" s="61"/>
      <c r="R260" s="708"/>
      <c r="S260" s="61"/>
      <c r="T260" s="150">
        <f>IF(NFI_Expiration=1,IF($A260&lt;VLOOKUP(I$5,NFI,5,0),1,0)*Data_NFI_t[[#This Row],[Hygiene Kit]],0)</f>
        <v>0</v>
      </c>
      <c r="U260" s="150">
        <f>IF(NFI_Expiration=1,IF($A260&lt;VLOOKUP(J$5,NFI,5,0),1,0)*Data_NFI_t[[#This Row],[NFI Core Kit]],0)</f>
        <v>0</v>
      </c>
      <c r="V260" s="131">
        <f>IF(NFI_Expiration=1,IF($A260&lt;VLOOKUP(K$5,NFI,5,0),1,0)*Data_NFI_t[[#This Row],[Sanitary Kit]],0)</f>
        <v>0</v>
      </c>
      <c r="W260" s="131">
        <f>IF(NFI_Expiration=1,IF($A260&lt;VLOOKUP(L$5,NFI,5,0),1,0)*Data_NFI_t[[#This Row],[Mosquito net]],0)</f>
        <v>0</v>
      </c>
      <c r="X260" s="131">
        <f>IF(NFI_Expiration=1,IF($A260&lt;VLOOKUP(M$5,NFI,5,0),1,0)*Data_NFI_t[[#This Row],[Tarpaulin]],0)</f>
        <v>0</v>
      </c>
      <c r="Y260" s="131">
        <f>IF(NFI_Expiration=1,IF($A260&lt;VLOOKUP(N$5,NFI,5,0),1,0)*Data_NFI_t[[#This Row],[Blanket]],0)</f>
        <v>0</v>
      </c>
      <c r="Z260" s="131">
        <f>IF(NFI_Expiration=1,IF($A260&lt;VLOOKUP(O$5,NFI,5,0),1,0)*Data_NFI_t[[#This Row],[Kitchen Set]],0)</f>
        <v>0</v>
      </c>
      <c r="AA260" s="131">
        <f>IF(NFI_Expiration=1,IF($A260&lt;VLOOKUP(P$5,NFI,5,0),1,0)*Data_NFI_t[[#This Row],[Complementary Kit]],0)</f>
        <v>0</v>
      </c>
      <c r="AB260" s="131">
        <f>IF(NFI_Expiration=1,IF($A260&lt;VLOOKUP(Q$5,NFI,5,0),1,0)*Data_NFI_t[[#This Row],[Plastic Bucket]],0)</f>
        <v>0</v>
      </c>
      <c r="AC260" s="131">
        <f>IF(NFI_Expiration=1,IF($A260&lt;VLOOKUP(R$5,NFI,5,0),1,0)*Data_NFI_t[[#This Row],[Jerry Can]],0)</f>
        <v>0</v>
      </c>
      <c r="AD260" s="150">
        <f>IF(NFI_Expiration=1,IF($A260&lt;VLOOKUP(S$5,NFI,5,0),1,0)*Data_NFI_t[[#This Row],[Plastic Mat]],0)*IF(Data_NFI_t[[#This Row],[Distribution Date]]&gt;"01-04-2014",1,2.5)</f>
        <v>0</v>
      </c>
      <c r="AE260" s="150" t="str">
        <f ca="1">IFERROR(OFFSET(Camp_List[P_Code],MATCH(Data_NFI_t[[#This Row],[Camp Name]],Camp_List[Camp Name],0)-1,0,1,1),"")</f>
        <v>MMR012CMP008</v>
      </c>
      <c r="AF260" s="714" t="str">
        <f ca="1">IFERROR(OFFSET(Camp_List[Status],MATCH(Data_NFI_t[[#This Row],[Camp Name]],Camp_List[Camp Name],0)-1,0,1,1),"")</f>
        <v>Open</v>
      </c>
    </row>
    <row r="261" spans="1:32" s="102" customFormat="1" ht="15" customHeight="1" x14ac:dyDescent="0.25">
      <c r="A261" s="265">
        <f t="shared" si="3"/>
        <v>36.033333333333331</v>
      </c>
      <c r="B261" s="265">
        <f>YEAR(Data_NFI_t[[#This Row],[Distribution Date]])</f>
        <v>2012</v>
      </c>
      <c r="C261" s="738">
        <v>41258</v>
      </c>
      <c r="D261" s="655" t="s">
        <v>288</v>
      </c>
      <c r="E261" s="654"/>
      <c r="F261" s="655" t="s">
        <v>7</v>
      </c>
      <c r="G261" s="31" t="s">
        <v>11</v>
      </c>
      <c r="H261" s="31" t="s">
        <v>27</v>
      </c>
      <c r="I261" s="31"/>
      <c r="J261" s="61"/>
      <c r="K261" s="61"/>
      <c r="L261" s="61"/>
      <c r="M261" s="61"/>
      <c r="N261" s="61"/>
      <c r="O261" s="61">
        <v>86</v>
      </c>
      <c r="P261" s="61"/>
      <c r="Q261" s="61"/>
      <c r="R261" s="708"/>
      <c r="S261" s="61"/>
      <c r="T261" s="150">
        <f>IF(NFI_Expiration=1,IF($A261&lt;VLOOKUP(I$5,NFI,5,0),1,0)*Data_NFI_t[[#This Row],[Hygiene Kit]],0)</f>
        <v>0</v>
      </c>
      <c r="U261" s="150">
        <f>IF(NFI_Expiration=1,IF($A261&lt;VLOOKUP(J$5,NFI,5,0),1,0)*Data_NFI_t[[#This Row],[NFI Core Kit]],0)</f>
        <v>0</v>
      </c>
      <c r="V261" s="131">
        <f>IF(NFI_Expiration=1,IF($A261&lt;VLOOKUP(K$5,NFI,5,0),1,0)*Data_NFI_t[[#This Row],[Sanitary Kit]],0)</f>
        <v>0</v>
      </c>
      <c r="W261" s="131">
        <f>IF(NFI_Expiration=1,IF($A261&lt;VLOOKUP(L$5,NFI,5,0),1,0)*Data_NFI_t[[#This Row],[Mosquito net]],0)</f>
        <v>0</v>
      </c>
      <c r="X261" s="131">
        <f>IF(NFI_Expiration=1,IF($A261&lt;VLOOKUP(M$5,NFI,5,0),1,0)*Data_NFI_t[[#This Row],[Tarpaulin]],0)</f>
        <v>0</v>
      </c>
      <c r="Y261" s="131">
        <f>IF(NFI_Expiration=1,IF($A261&lt;VLOOKUP(N$5,NFI,5,0),1,0)*Data_NFI_t[[#This Row],[Blanket]],0)</f>
        <v>0</v>
      </c>
      <c r="Z261" s="131">
        <f>IF(NFI_Expiration=1,IF($A261&lt;VLOOKUP(O$5,NFI,5,0),1,0)*Data_NFI_t[[#This Row],[Kitchen Set]],0)</f>
        <v>0</v>
      </c>
      <c r="AA261" s="131">
        <f>IF(NFI_Expiration=1,IF($A261&lt;VLOOKUP(P$5,NFI,5,0),1,0)*Data_NFI_t[[#This Row],[Complementary Kit]],0)</f>
        <v>0</v>
      </c>
      <c r="AB261" s="131">
        <f>IF(NFI_Expiration=1,IF($A261&lt;VLOOKUP(Q$5,NFI,5,0),1,0)*Data_NFI_t[[#This Row],[Plastic Bucket]],0)</f>
        <v>0</v>
      </c>
      <c r="AC261" s="131">
        <f>IF(NFI_Expiration=1,IF($A261&lt;VLOOKUP(R$5,NFI,5,0),1,0)*Data_NFI_t[[#This Row],[Jerry Can]],0)</f>
        <v>0</v>
      </c>
      <c r="AD261" s="150">
        <f>IF(NFI_Expiration=1,IF($A261&lt;VLOOKUP(S$5,NFI,5,0),1,0)*Data_NFI_t[[#This Row],[Plastic Mat]],0)*IF(Data_NFI_t[[#This Row],[Distribution Date]]&gt;"01-04-2014",1,2.5)</f>
        <v>0</v>
      </c>
      <c r="AE261" s="150" t="str">
        <f ca="1">IFERROR(OFFSET(Camp_List[P_Code],MATCH(Data_NFI_t[[#This Row],[Camp Name]],Camp_List[Camp Name],0)-1,0,1,1),"")</f>
        <v>MMR012CMP003</v>
      </c>
      <c r="AF261" s="714" t="str">
        <f ca="1">IFERROR(OFFSET(Camp_List[Status],MATCH(Data_NFI_t[[#This Row],[Camp Name]],Camp_List[Camp Name],0)-1,0,1,1),"")</f>
        <v>Open</v>
      </c>
    </row>
    <row r="262" spans="1:32" s="102" customFormat="1" ht="15" customHeight="1" x14ac:dyDescent="0.25">
      <c r="A262" s="265">
        <f t="shared" ref="A262:A325" si="4">IF(ISBLANK(C262),"",(Report_Date-C262)/30)</f>
        <v>36.033333333333331</v>
      </c>
      <c r="B262" s="265">
        <f>YEAR(Data_NFI_t[[#This Row],[Distribution Date]])</f>
        <v>2012</v>
      </c>
      <c r="C262" s="738">
        <v>41258</v>
      </c>
      <c r="D262" s="655" t="s">
        <v>288</v>
      </c>
      <c r="E262" s="654"/>
      <c r="F262" s="655" t="s">
        <v>7</v>
      </c>
      <c r="G262" s="31" t="s">
        <v>11</v>
      </c>
      <c r="H262" s="31" t="s">
        <v>26</v>
      </c>
      <c r="I262" s="31"/>
      <c r="J262" s="61"/>
      <c r="K262" s="61"/>
      <c r="L262" s="61"/>
      <c r="M262" s="61"/>
      <c r="N262" s="61">
        <v>406</v>
      </c>
      <c r="O262" s="61"/>
      <c r="P262" s="61"/>
      <c r="Q262" s="61"/>
      <c r="R262" s="708"/>
      <c r="S262" s="61"/>
      <c r="T262" s="150">
        <f>IF(NFI_Expiration=1,IF($A262&lt;VLOOKUP(I$5,NFI,5,0),1,0)*Data_NFI_t[[#This Row],[Hygiene Kit]],0)</f>
        <v>0</v>
      </c>
      <c r="U262" s="150">
        <f>IF(NFI_Expiration=1,IF($A262&lt;VLOOKUP(J$5,NFI,5,0),1,0)*Data_NFI_t[[#This Row],[NFI Core Kit]],0)</f>
        <v>0</v>
      </c>
      <c r="V262" s="131">
        <f>IF(NFI_Expiration=1,IF($A262&lt;VLOOKUP(K$5,NFI,5,0),1,0)*Data_NFI_t[[#This Row],[Sanitary Kit]],0)</f>
        <v>0</v>
      </c>
      <c r="W262" s="131">
        <f>IF(NFI_Expiration=1,IF($A262&lt;VLOOKUP(L$5,NFI,5,0),1,0)*Data_NFI_t[[#This Row],[Mosquito net]],0)</f>
        <v>0</v>
      </c>
      <c r="X262" s="131">
        <f>IF(NFI_Expiration=1,IF($A262&lt;VLOOKUP(M$5,NFI,5,0),1,0)*Data_NFI_t[[#This Row],[Tarpaulin]],0)</f>
        <v>0</v>
      </c>
      <c r="Y262" s="131">
        <f>IF(NFI_Expiration=1,IF($A262&lt;VLOOKUP(N$5,NFI,5,0),1,0)*Data_NFI_t[[#This Row],[Blanket]],0)</f>
        <v>0</v>
      </c>
      <c r="Z262" s="131">
        <f>IF(NFI_Expiration=1,IF($A262&lt;VLOOKUP(O$5,NFI,5,0),1,0)*Data_NFI_t[[#This Row],[Kitchen Set]],0)</f>
        <v>0</v>
      </c>
      <c r="AA262" s="131">
        <f>IF(NFI_Expiration=1,IF($A262&lt;VLOOKUP(P$5,NFI,5,0),1,0)*Data_NFI_t[[#This Row],[Complementary Kit]],0)</f>
        <v>0</v>
      </c>
      <c r="AB262" s="131">
        <f>IF(NFI_Expiration=1,IF($A262&lt;VLOOKUP(Q$5,NFI,5,0),1,0)*Data_NFI_t[[#This Row],[Plastic Bucket]],0)</f>
        <v>0</v>
      </c>
      <c r="AC262" s="131">
        <f>IF(NFI_Expiration=1,IF($A262&lt;VLOOKUP(R$5,NFI,5,0),1,0)*Data_NFI_t[[#This Row],[Jerry Can]],0)</f>
        <v>0</v>
      </c>
      <c r="AD262" s="150">
        <f>IF(NFI_Expiration=1,IF($A262&lt;VLOOKUP(S$5,NFI,5,0),1,0)*Data_NFI_t[[#This Row],[Plastic Mat]],0)*IF(Data_NFI_t[[#This Row],[Distribution Date]]&gt;"01-04-2014",1,2.5)</f>
        <v>0</v>
      </c>
      <c r="AE262" s="150" t="str">
        <f ca="1">IFERROR(OFFSET(Camp_List[P_Code],MATCH(Data_NFI_t[[#This Row],[Camp Name]],Camp_List[Camp Name],0)-1,0,1,1),"")</f>
        <v>MMR012CMP002</v>
      </c>
      <c r="AF262" s="714" t="str">
        <f ca="1">IFERROR(OFFSET(Camp_List[Status],MATCH(Data_NFI_t[[#This Row],[Camp Name]],Camp_List[Camp Name],0)-1,0,1,1),"")</f>
        <v>Open</v>
      </c>
    </row>
    <row r="263" spans="1:32" s="102" customFormat="1" ht="15" customHeight="1" x14ac:dyDescent="0.25">
      <c r="A263" s="265">
        <f t="shared" si="4"/>
        <v>36.06666666666667</v>
      </c>
      <c r="B263" s="265">
        <f>YEAR(Data_NFI_t[[#This Row],[Distribution Date]])</f>
        <v>2012</v>
      </c>
      <c r="C263" s="738">
        <v>41257</v>
      </c>
      <c r="D263" s="655" t="s">
        <v>292</v>
      </c>
      <c r="E263" s="654" t="s">
        <v>288</v>
      </c>
      <c r="F263" s="655" t="s">
        <v>7</v>
      </c>
      <c r="G263" s="31" t="s">
        <v>19</v>
      </c>
      <c r="H263" s="31" t="s">
        <v>71</v>
      </c>
      <c r="I263" s="31"/>
      <c r="J263" s="61"/>
      <c r="K263" s="61"/>
      <c r="L263" s="61"/>
      <c r="M263" s="61"/>
      <c r="N263" s="61">
        <v>55</v>
      </c>
      <c r="O263" s="61"/>
      <c r="P263" s="61"/>
      <c r="Q263" s="61"/>
      <c r="R263" s="708"/>
      <c r="S263" s="61"/>
      <c r="T263" s="150">
        <f>IF(NFI_Expiration=1,IF($A263&lt;VLOOKUP(I$5,NFI,5,0),1,0)*Data_NFI_t[[#This Row],[Hygiene Kit]],0)</f>
        <v>0</v>
      </c>
      <c r="U263" s="150">
        <f>IF(NFI_Expiration=1,IF($A263&lt;VLOOKUP(J$5,NFI,5,0),1,0)*Data_NFI_t[[#This Row],[NFI Core Kit]],0)</f>
        <v>0</v>
      </c>
      <c r="V263" s="131">
        <f>IF(NFI_Expiration=1,IF($A263&lt;VLOOKUP(K$5,NFI,5,0),1,0)*Data_NFI_t[[#This Row],[Sanitary Kit]],0)</f>
        <v>0</v>
      </c>
      <c r="W263" s="131">
        <f>IF(NFI_Expiration=1,IF($A263&lt;VLOOKUP(L$5,NFI,5,0),1,0)*Data_NFI_t[[#This Row],[Mosquito net]],0)</f>
        <v>0</v>
      </c>
      <c r="X263" s="131">
        <f>IF(NFI_Expiration=1,IF($A263&lt;VLOOKUP(M$5,NFI,5,0),1,0)*Data_NFI_t[[#This Row],[Tarpaulin]],0)</f>
        <v>0</v>
      </c>
      <c r="Y263" s="131">
        <f>IF(NFI_Expiration=1,IF($A263&lt;VLOOKUP(N$5,NFI,5,0),1,0)*Data_NFI_t[[#This Row],[Blanket]],0)</f>
        <v>0</v>
      </c>
      <c r="Z263" s="131">
        <f>IF(NFI_Expiration=1,IF($A263&lt;VLOOKUP(O$5,NFI,5,0),1,0)*Data_NFI_t[[#This Row],[Kitchen Set]],0)</f>
        <v>0</v>
      </c>
      <c r="AA263" s="131">
        <f>IF(NFI_Expiration=1,IF($A263&lt;VLOOKUP(P$5,NFI,5,0),1,0)*Data_NFI_t[[#This Row],[Complementary Kit]],0)</f>
        <v>0</v>
      </c>
      <c r="AB263" s="131">
        <f>IF(NFI_Expiration=1,IF($A263&lt;VLOOKUP(Q$5,NFI,5,0),1,0)*Data_NFI_t[[#This Row],[Plastic Bucket]],0)</f>
        <v>0</v>
      </c>
      <c r="AC263" s="131">
        <f>IF(NFI_Expiration=1,IF($A263&lt;VLOOKUP(R$5,NFI,5,0),1,0)*Data_NFI_t[[#This Row],[Jerry Can]],0)</f>
        <v>0</v>
      </c>
      <c r="AD263" s="150">
        <f>IF(NFI_Expiration=1,IF($A263&lt;VLOOKUP(S$5,NFI,5,0),1,0)*Data_NFI_t[[#This Row],[Plastic Mat]],0)*IF(Data_NFI_t[[#This Row],[Distribution Date]]&gt;"01-04-2014",1,2.5)</f>
        <v>0</v>
      </c>
      <c r="AE263" s="150" t="str">
        <f ca="1">IFERROR(OFFSET(Camp_List[P_Code],MATCH(Data_NFI_t[[#This Row],[Camp Name]],Camp_List[Camp Name],0)-1,0,1,1),"")</f>
        <v>MMR012CMP049</v>
      </c>
      <c r="AF263" s="714" t="str">
        <f ca="1">IFERROR(OFFSET(Camp_List[Status],MATCH(Data_NFI_t[[#This Row],[Camp Name]],Camp_List[Camp Name],0)-1,0,1,1),"")</f>
        <v>Close</v>
      </c>
    </row>
    <row r="264" spans="1:32" s="102" customFormat="1" ht="15" customHeight="1" x14ac:dyDescent="0.25">
      <c r="A264" s="265">
        <f t="shared" si="4"/>
        <v>36.1</v>
      </c>
      <c r="B264" s="265">
        <f>YEAR(Data_NFI_t[[#This Row],[Distribution Date]])</f>
        <v>2012</v>
      </c>
      <c r="C264" s="738">
        <v>41256</v>
      </c>
      <c r="D264" s="655" t="s">
        <v>288</v>
      </c>
      <c r="E264" s="654"/>
      <c r="F264" s="655" t="s">
        <v>7</v>
      </c>
      <c r="G264" s="31" t="s">
        <v>15</v>
      </c>
      <c r="H264" s="31" t="s">
        <v>49</v>
      </c>
      <c r="I264" s="31"/>
      <c r="J264" s="61"/>
      <c r="K264" s="61"/>
      <c r="L264" s="61">
        <v>180</v>
      </c>
      <c r="M264" s="61"/>
      <c r="N264" s="61">
        <v>180</v>
      </c>
      <c r="O264" s="61">
        <v>90</v>
      </c>
      <c r="P264" s="61"/>
      <c r="Q264" s="61"/>
      <c r="R264" s="708"/>
      <c r="S264" s="61"/>
      <c r="T264" s="150">
        <f>IF(NFI_Expiration=1,IF($A264&lt;VLOOKUP(I$5,NFI,5,0),1,0)*Data_NFI_t[[#This Row],[Hygiene Kit]],0)</f>
        <v>0</v>
      </c>
      <c r="U264" s="150">
        <f>IF(NFI_Expiration=1,IF($A264&lt;VLOOKUP(J$5,NFI,5,0),1,0)*Data_NFI_t[[#This Row],[NFI Core Kit]],0)</f>
        <v>0</v>
      </c>
      <c r="V264" s="131">
        <f>IF(NFI_Expiration=1,IF($A264&lt;VLOOKUP(K$5,NFI,5,0),1,0)*Data_NFI_t[[#This Row],[Sanitary Kit]],0)</f>
        <v>0</v>
      </c>
      <c r="W264" s="131">
        <f>IF(NFI_Expiration=1,IF($A264&lt;VLOOKUP(L$5,NFI,5,0),1,0)*Data_NFI_t[[#This Row],[Mosquito net]],0)</f>
        <v>0</v>
      </c>
      <c r="X264" s="131">
        <f>IF(NFI_Expiration=1,IF($A264&lt;VLOOKUP(M$5,NFI,5,0),1,0)*Data_NFI_t[[#This Row],[Tarpaulin]],0)</f>
        <v>0</v>
      </c>
      <c r="Y264" s="131">
        <f>IF(NFI_Expiration=1,IF($A264&lt;VLOOKUP(N$5,NFI,5,0),1,0)*Data_NFI_t[[#This Row],[Blanket]],0)</f>
        <v>0</v>
      </c>
      <c r="Z264" s="131">
        <f>IF(NFI_Expiration=1,IF($A264&lt;VLOOKUP(O$5,NFI,5,0),1,0)*Data_NFI_t[[#This Row],[Kitchen Set]],0)</f>
        <v>0</v>
      </c>
      <c r="AA264" s="131">
        <f>IF(NFI_Expiration=1,IF($A264&lt;VLOOKUP(P$5,NFI,5,0),1,0)*Data_NFI_t[[#This Row],[Complementary Kit]],0)</f>
        <v>0</v>
      </c>
      <c r="AB264" s="131">
        <f>IF(NFI_Expiration=1,IF($A264&lt;VLOOKUP(Q$5,NFI,5,0),1,0)*Data_NFI_t[[#This Row],[Plastic Bucket]],0)</f>
        <v>0</v>
      </c>
      <c r="AC264" s="131">
        <f>IF(NFI_Expiration=1,IF($A264&lt;VLOOKUP(R$5,NFI,5,0),1,0)*Data_NFI_t[[#This Row],[Jerry Can]],0)</f>
        <v>0</v>
      </c>
      <c r="AD264" s="150">
        <f>IF(NFI_Expiration=1,IF($A264&lt;VLOOKUP(S$5,NFI,5,0),1,0)*Data_NFI_t[[#This Row],[Plastic Mat]],0)*IF(Data_NFI_t[[#This Row],[Distribution Date]]&gt;"01-04-2014",1,2.5)</f>
        <v>0</v>
      </c>
      <c r="AE264" s="150" t="str">
        <f ca="1">IFERROR(OFFSET(Camp_List[P_Code],MATCH(Data_NFI_t[[#This Row],[Camp Name]],Camp_List[Camp Name],0)-1,0,1,1),"")</f>
        <v>MMR012CMP025</v>
      </c>
      <c r="AF264" s="714" t="str">
        <f ca="1">IFERROR(OFFSET(Camp_List[Status],MATCH(Data_NFI_t[[#This Row],[Camp Name]],Camp_List[Camp Name],0)-1,0,1,1),"")</f>
        <v>Open</v>
      </c>
    </row>
    <row r="265" spans="1:32" s="102" customFormat="1" ht="15" customHeight="1" x14ac:dyDescent="0.25">
      <c r="A265" s="265">
        <f t="shared" si="4"/>
        <v>36.1</v>
      </c>
      <c r="B265" s="265">
        <f>YEAR(Data_NFI_t[[#This Row],[Distribution Date]])</f>
        <v>2012</v>
      </c>
      <c r="C265" s="738">
        <v>41256</v>
      </c>
      <c r="D265" s="655" t="s">
        <v>288</v>
      </c>
      <c r="E265" s="654"/>
      <c r="F265" s="655" t="s">
        <v>7</v>
      </c>
      <c r="G265" s="31" t="s">
        <v>15</v>
      </c>
      <c r="H265" s="31" t="s">
        <v>48</v>
      </c>
      <c r="I265" s="31"/>
      <c r="J265" s="61"/>
      <c r="K265" s="61"/>
      <c r="L265" s="61"/>
      <c r="M265" s="61"/>
      <c r="N265" s="61"/>
      <c r="O265" s="61"/>
      <c r="P265" s="61">
        <v>90</v>
      </c>
      <c r="Q265" s="61"/>
      <c r="R265" s="708"/>
      <c r="S265" s="61"/>
      <c r="T265" s="150">
        <f>IF(NFI_Expiration=1,IF($A265&lt;VLOOKUP(I$5,NFI,5,0),1,0)*Data_NFI_t[[#This Row],[Hygiene Kit]],0)</f>
        <v>0</v>
      </c>
      <c r="U265" s="150">
        <f>IF(NFI_Expiration=1,IF($A265&lt;VLOOKUP(J$5,NFI,5,0),1,0)*Data_NFI_t[[#This Row],[NFI Core Kit]],0)</f>
        <v>0</v>
      </c>
      <c r="V265" s="131">
        <f>IF(NFI_Expiration=1,IF($A265&lt;VLOOKUP(K$5,NFI,5,0),1,0)*Data_NFI_t[[#This Row],[Sanitary Kit]],0)</f>
        <v>0</v>
      </c>
      <c r="W265" s="131">
        <f>IF(NFI_Expiration=1,IF($A265&lt;VLOOKUP(L$5,NFI,5,0),1,0)*Data_NFI_t[[#This Row],[Mosquito net]],0)</f>
        <v>0</v>
      </c>
      <c r="X265" s="131">
        <f>IF(NFI_Expiration=1,IF($A265&lt;VLOOKUP(M$5,NFI,5,0),1,0)*Data_NFI_t[[#This Row],[Tarpaulin]],0)</f>
        <v>0</v>
      </c>
      <c r="Y265" s="131">
        <f>IF(NFI_Expiration=1,IF($A265&lt;VLOOKUP(N$5,NFI,5,0),1,0)*Data_NFI_t[[#This Row],[Blanket]],0)</f>
        <v>0</v>
      </c>
      <c r="Z265" s="131">
        <f>IF(NFI_Expiration=1,IF($A265&lt;VLOOKUP(O$5,NFI,5,0),1,0)*Data_NFI_t[[#This Row],[Kitchen Set]],0)</f>
        <v>0</v>
      </c>
      <c r="AA265" s="131">
        <f>IF(NFI_Expiration=1,IF($A265&lt;VLOOKUP(P$5,NFI,5,0),1,0)*Data_NFI_t[[#This Row],[Complementary Kit]],0)</f>
        <v>0</v>
      </c>
      <c r="AB265" s="131">
        <f>IF(NFI_Expiration=1,IF($A265&lt;VLOOKUP(Q$5,NFI,5,0),1,0)*Data_NFI_t[[#This Row],[Plastic Bucket]],0)</f>
        <v>0</v>
      </c>
      <c r="AC265" s="131">
        <f>IF(NFI_Expiration=1,IF($A265&lt;VLOOKUP(R$5,NFI,5,0),1,0)*Data_NFI_t[[#This Row],[Jerry Can]],0)</f>
        <v>0</v>
      </c>
      <c r="AD265" s="150">
        <f>IF(NFI_Expiration=1,IF($A265&lt;VLOOKUP(S$5,NFI,5,0),1,0)*Data_NFI_t[[#This Row],[Plastic Mat]],0)*IF(Data_NFI_t[[#This Row],[Distribution Date]]&gt;"01-04-2014",1,2.5)</f>
        <v>0</v>
      </c>
      <c r="AE265" s="150" t="str">
        <f ca="1">IFERROR(OFFSET(Camp_List[P_Code],MATCH(Data_NFI_t[[#This Row],[Camp Name]],Camp_List[Camp Name],0)-1,0,1,1),"")</f>
        <v>MMR012CMP024</v>
      </c>
      <c r="AF265" s="714" t="str">
        <f ca="1">IFERROR(OFFSET(Camp_List[Status],MATCH(Data_NFI_t[[#This Row],[Camp Name]],Camp_List[Camp Name],0)-1,0,1,1),"")</f>
        <v>Open</v>
      </c>
    </row>
    <row r="266" spans="1:32" s="102" customFormat="1" ht="15" customHeight="1" x14ac:dyDescent="0.25">
      <c r="A266" s="265">
        <f t="shared" si="4"/>
        <v>36.1</v>
      </c>
      <c r="B266" s="265">
        <f>YEAR(Data_NFI_t[[#This Row],[Distribution Date]])</f>
        <v>2012</v>
      </c>
      <c r="C266" s="738">
        <v>41256</v>
      </c>
      <c r="D266" s="655" t="s">
        <v>288</v>
      </c>
      <c r="E266" s="654"/>
      <c r="F266" s="655" t="s">
        <v>7</v>
      </c>
      <c r="G266" s="31" t="s">
        <v>19</v>
      </c>
      <c r="H266" s="31" t="s">
        <v>61</v>
      </c>
      <c r="I266" s="31"/>
      <c r="J266" s="61"/>
      <c r="K266" s="61">
        <v>302</v>
      </c>
      <c r="L266" s="61"/>
      <c r="M266" s="61"/>
      <c r="N266" s="61"/>
      <c r="O266" s="61"/>
      <c r="P266" s="61"/>
      <c r="Q266" s="61"/>
      <c r="R266" s="708"/>
      <c r="S266" s="61"/>
      <c r="T266" s="150">
        <f>IF(NFI_Expiration=1,IF($A266&lt;VLOOKUP(I$5,NFI,5,0),1,0)*Data_NFI_t[[#This Row],[Hygiene Kit]],0)</f>
        <v>0</v>
      </c>
      <c r="U266" s="150">
        <f>IF(NFI_Expiration=1,IF($A266&lt;VLOOKUP(J$5,NFI,5,0),1,0)*Data_NFI_t[[#This Row],[NFI Core Kit]],0)</f>
        <v>0</v>
      </c>
      <c r="V266" s="131">
        <f>IF(NFI_Expiration=1,IF($A266&lt;VLOOKUP(K$5,NFI,5,0),1,0)*Data_NFI_t[[#This Row],[Sanitary Kit]],0)</f>
        <v>0</v>
      </c>
      <c r="W266" s="131">
        <f>IF(NFI_Expiration=1,IF($A266&lt;VLOOKUP(L$5,NFI,5,0),1,0)*Data_NFI_t[[#This Row],[Mosquito net]],0)</f>
        <v>0</v>
      </c>
      <c r="X266" s="131">
        <f>IF(NFI_Expiration=1,IF($A266&lt;VLOOKUP(M$5,NFI,5,0),1,0)*Data_NFI_t[[#This Row],[Tarpaulin]],0)</f>
        <v>0</v>
      </c>
      <c r="Y266" s="131">
        <f>IF(NFI_Expiration=1,IF($A266&lt;VLOOKUP(N$5,NFI,5,0),1,0)*Data_NFI_t[[#This Row],[Blanket]],0)</f>
        <v>0</v>
      </c>
      <c r="Z266" s="131">
        <f>IF(NFI_Expiration=1,IF($A266&lt;VLOOKUP(O$5,NFI,5,0),1,0)*Data_NFI_t[[#This Row],[Kitchen Set]],0)</f>
        <v>0</v>
      </c>
      <c r="AA266" s="131">
        <f>IF(NFI_Expiration=1,IF($A266&lt;VLOOKUP(P$5,NFI,5,0),1,0)*Data_NFI_t[[#This Row],[Complementary Kit]],0)</f>
        <v>0</v>
      </c>
      <c r="AB266" s="131">
        <f>IF(NFI_Expiration=1,IF($A266&lt;VLOOKUP(Q$5,NFI,5,0),1,0)*Data_NFI_t[[#This Row],[Plastic Bucket]],0)</f>
        <v>0</v>
      </c>
      <c r="AC266" s="131">
        <f>IF(NFI_Expiration=1,IF($A266&lt;VLOOKUP(R$5,NFI,5,0),1,0)*Data_NFI_t[[#This Row],[Jerry Can]],0)</f>
        <v>0</v>
      </c>
      <c r="AD266" s="150">
        <f>IF(NFI_Expiration=1,IF($A266&lt;VLOOKUP(S$5,NFI,5,0),1,0)*Data_NFI_t[[#This Row],[Plastic Mat]],0)*IF(Data_NFI_t[[#This Row],[Distribution Date]]&gt;"01-04-2014",1,2.5)</f>
        <v>0</v>
      </c>
      <c r="AE266" s="150" t="str">
        <f ca="1">IFERROR(OFFSET(Camp_List[P_Code],MATCH(Data_NFI_t[[#This Row],[Camp Name]],Camp_List[Camp Name],0)-1,0,1,1),"")</f>
        <v>MMR012CMP039</v>
      </c>
      <c r="AF266" s="714" t="str">
        <f ca="1">IFERROR(OFFSET(Camp_List[Status],MATCH(Data_NFI_t[[#This Row],[Camp Name]],Camp_List[Camp Name],0)-1,0,1,1),"")</f>
        <v>Open</v>
      </c>
    </row>
    <row r="267" spans="1:32" s="102" customFormat="1" ht="15" customHeight="1" x14ac:dyDescent="0.25">
      <c r="A267" s="265">
        <f t="shared" si="4"/>
        <v>36.1</v>
      </c>
      <c r="B267" s="265">
        <f>YEAR(Data_NFI_t[[#This Row],[Distribution Date]])</f>
        <v>2012</v>
      </c>
      <c r="C267" s="738">
        <v>41256</v>
      </c>
      <c r="D267" s="655" t="s">
        <v>288</v>
      </c>
      <c r="E267" s="654"/>
      <c r="F267" s="655" t="s">
        <v>7</v>
      </c>
      <c r="G267" s="31" t="s">
        <v>19</v>
      </c>
      <c r="H267" s="31" t="s">
        <v>62</v>
      </c>
      <c r="I267" s="31"/>
      <c r="J267" s="61"/>
      <c r="K267" s="61">
        <v>2142</v>
      </c>
      <c r="L267" s="61"/>
      <c r="M267" s="61"/>
      <c r="N267" s="61"/>
      <c r="O267" s="61"/>
      <c r="P267" s="61"/>
      <c r="Q267" s="61"/>
      <c r="R267" s="708"/>
      <c r="S267" s="61"/>
      <c r="T267" s="150">
        <f>IF(NFI_Expiration=1,IF($A267&lt;VLOOKUP(I$5,NFI,5,0),1,0)*Data_NFI_t[[#This Row],[Hygiene Kit]],0)</f>
        <v>0</v>
      </c>
      <c r="U267" s="150">
        <f>IF(NFI_Expiration=1,IF($A267&lt;VLOOKUP(J$5,NFI,5,0),1,0)*Data_NFI_t[[#This Row],[NFI Core Kit]],0)</f>
        <v>0</v>
      </c>
      <c r="V267" s="131">
        <f>IF(NFI_Expiration=1,IF($A267&lt;VLOOKUP(K$5,NFI,5,0),1,0)*Data_NFI_t[[#This Row],[Sanitary Kit]],0)</f>
        <v>0</v>
      </c>
      <c r="W267" s="131">
        <f>IF(NFI_Expiration=1,IF($A267&lt;VLOOKUP(L$5,NFI,5,0),1,0)*Data_NFI_t[[#This Row],[Mosquito net]],0)</f>
        <v>0</v>
      </c>
      <c r="X267" s="131">
        <f>IF(NFI_Expiration=1,IF($A267&lt;VLOOKUP(M$5,NFI,5,0),1,0)*Data_NFI_t[[#This Row],[Tarpaulin]],0)</f>
        <v>0</v>
      </c>
      <c r="Y267" s="131">
        <f>IF(NFI_Expiration=1,IF($A267&lt;VLOOKUP(N$5,NFI,5,0),1,0)*Data_NFI_t[[#This Row],[Blanket]],0)</f>
        <v>0</v>
      </c>
      <c r="Z267" s="131">
        <f>IF(NFI_Expiration=1,IF($A267&lt;VLOOKUP(O$5,NFI,5,0),1,0)*Data_NFI_t[[#This Row],[Kitchen Set]],0)</f>
        <v>0</v>
      </c>
      <c r="AA267" s="131">
        <f>IF(NFI_Expiration=1,IF($A267&lt;VLOOKUP(P$5,NFI,5,0),1,0)*Data_NFI_t[[#This Row],[Complementary Kit]],0)</f>
        <v>0</v>
      </c>
      <c r="AB267" s="131">
        <f>IF(NFI_Expiration=1,IF($A267&lt;VLOOKUP(Q$5,NFI,5,0),1,0)*Data_NFI_t[[#This Row],[Plastic Bucket]],0)</f>
        <v>0</v>
      </c>
      <c r="AC267" s="131">
        <f>IF(NFI_Expiration=1,IF($A267&lt;VLOOKUP(R$5,NFI,5,0),1,0)*Data_NFI_t[[#This Row],[Jerry Can]],0)</f>
        <v>0</v>
      </c>
      <c r="AD267" s="150">
        <f>IF(NFI_Expiration=1,IF($A267&lt;VLOOKUP(S$5,NFI,5,0),1,0)*Data_NFI_t[[#This Row],[Plastic Mat]],0)*IF(Data_NFI_t[[#This Row],[Distribution Date]]&gt;"01-04-2014",1,2.5)</f>
        <v>0</v>
      </c>
      <c r="AE267" s="150" t="str">
        <f ca="1">IFERROR(OFFSET(Camp_List[P_Code],MATCH(Data_NFI_t[[#This Row],[Camp Name]],Camp_List[Camp Name],0)-1,0,1,1),"")</f>
        <v>MMR012CMP040</v>
      </c>
      <c r="AF267" s="714" t="str">
        <f ca="1">IFERROR(OFFSET(Camp_List[Status],MATCH(Data_NFI_t[[#This Row],[Camp Name]],Camp_List[Camp Name],0)-1,0,1,1),"")</f>
        <v>Close</v>
      </c>
    </row>
    <row r="268" spans="1:32" s="102" customFormat="1" ht="15" customHeight="1" x14ac:dyDescent="0.25">
      <c r="A268" s="265">
        <f t="shared" si="4"/>
        <v>36.1</v>
      </c>
      <c r="B268" s="265">
        <f>YEAR(Data_NFI_t[[#This Row],[Distribution Date]])</f>
        <v>2012</v>
      </c>
      <c r="C268" s="738">
        <v>41256</v>
      </c>
      <c r="D268" s="655" t="s">
        <v>288</v>
      </c>
      <c r="E268" s="654"/>
      <c r="F268" s="655" t="s">
        <v>7</v>
      </c>
      <c r="G268" s="31" t="s">
        <v>19</v>
      </c>
      <c r="H268" s="31" t="s">
        <v>63</v>
      </c>
      <c r="I268" s="31"/>
      <c r="J268" s="61"/>
      <c r="K268" s="61">
        <v>1707</v>
      </c>
      <c r="L268" s="61"/>
      <c r="M268" s="61"/>
      <c r="N268" s="61"/>
      <c r="O268" s="61"/>
      <c r="P268" s="61"/>
      <c r="Q268" s="61"/>
      <c r="R268" s="708"/>
      <c r="S268" s="61"/>
      <c r="T268" s="150">
        <f>IF(NFI_Expiration=1,IF($A268&lt;VLOOKUP(I$5,NFI,5,0),1,0)*Data_NFI_t[[#This Row],[Hygiene Kit]],0)</f>
        <v>0</v>
      </c>
      <c r="U268" s="150">
        <f>IF(NFI_Expiration=1,IF($A268&lt;VLOOKUP(J$5,NFI,5,0),1,0)*Data_NFI_t[[#This Row],[NFI Core Kit]],0)</f>
        <v>0</v>
      </c>
      <c r="V268" s="131">
        <f>IF(NFI_Expiration=1,IF($A268&lt;VLOOKUP(K$5,NFI,5,0),1,0)*Data_NFI_t[[#This Row],[Sanitary Kit]],0)</f>
        <v>0</v>
      </c>
      <c r="W268" s="131">
        <f>IF(NFI_Expiration=1,IF($A268&lt;VLOOKUP(L$5,NFI,5,0),1,0)*Data_NFI_t[[#This Row],[Mosquito net]],0)</f>
        <v>0</v>
      </c>
      <c r="X268" s="131">
        <f>IF(NFI_Expiration=1,IF($A268&lt;VLOOKUP(M$5,NFI,5,0),1,0)*Data_NFI_t[[#This Row],[Tarpaulin]],0)</f>
        <v>0</v>
      </c>
      <c r="Y268" s="131">
        <f>IF(NFI_Expiration=1,IF($A268&lt;VLOOKUP(N$5,NFI,5,0),1,0)*Data_NFI_t[[#This Row],[Blanket]],0)</f>
        <v>0</v>
      </c>
      <c r="Z268" s="131">
        <f>IF(NFI_Expiration=1,IF($A268&lt;VLOOKUP(O$5,NFI,5,0),1,0)*Data_NFI_t[[#This Row],[Kitchen Set]],0)</f>
        <v>0</v>
      </c>
      <c r="AA268" s="131">
        <f>IF(NFI_Expiration=1,IF($A268&lt;VLOOKUP(P$5,NFI,5,0),1,0)*Data_NFI_t[[#This Row],[Complementary Kit]],0)</f>
        <v>0</v>
      </c>
      <c r="AB268" s="131">
        <f>IF(NFI_Expiration=1,IF($A268&lt;VLOOKUP(Q$5,NFI,5,0),1,0)*Data_NFI_t[[#This Row],[Plastic Bucket]],0)</f>
        <v>0</v>
      </c>
      <c r="AC268" s="131">
        <f>IF(NFI_Expiration=1,IF($A268&lt;VLOOKUP(R$5,NFI,5,0),1,0)*Data_NFI_t[[#This Row],[Jerry Can]],0)</f>
        <v>0</v>
      </c>
      <c r="AD268" s="150">
        <f>IF(NFI_Expiration=1,IF($A268&lt;VLOOKUP(S$5,NFI,5,0),1,0)*Data_NFI_t[[#This Row],[Plastic Mat]],0)*IF(Data_NFI_t[[#This Row],[Distribution Date]]&gt;"01-04-2014",1,2.5)</f>
        <v>0</v>
      </c>
      <c r="AE268" s="150" t="str">
        <f ca="1">IFERROR(OFFSET(Camp_List[P_Code],MATCH(Data_NFI_t[[#This Row],[Camp Name]],Camp_List[Camp Name],0)-1,0,1,1),"")</f>
        <v>MMR012CMP041</v>
      </c>
      <c r="AF268" s="714" t="str">
        <f ca="1">IFERROR(OFFSET(Camp_List[Status],MATCH(Data_NFI_t[[#This Row],[Camp Name]],Camp_List[Camp Name],0)-1,0,1,1),"")</f>
        <v>Open</v>
      </c>
    </row>
    <row r="269" spans="1:32" s="102" customFormat="1" ht="15" customHeight="1" x14ac:dyDescent="0.25">
      <c r="A269" s="265">
        <f t="shared" si="4"/>
        <v>36.1</v>
      </c>
      <c r="B269" s="265">
        <f>YEAR(Data_NFI_t[[#This Row],[Distribution Date]])</f>
        <v>2012</v>
      </c>
      <c r="C269" s="738">
        <v>41256</v>
      </c>
      <c r="D269" s="655" t="s">
        <v>288</v>
      </c>
      <c r="E269" s="654"/>
      <c r="F269" s="655" t="s">
        <v>7</v>
      </c>
      <c r="G269" s="31" t="s">
        <v>15</v>
      </c>
      <c r="H269" s="31" t="s">
        <v>51</v>
      </c>
      <c r="I269" s="31"/>
      <c r="J269" s="61"/>
      <c r="K269" s="61"/>
      <c r="L269" s="61">
        <v>232</v>
      </c>
      <c r="M269" s="61"/>
      <c r="N269" s="61">
        <v>232</v>
      </c>
      <c r="O269" s="61">
        <v>105</v>
      </c>
      <c r="P269" s="61">
        <v>116</v>
      </c>
      <c r="Q269" s="61"/>
      <c r="R269" s="708"/>
      <c r="S269" s="61"/>
      <c r="T269" s="150">
        <f>IF(NFI_Expiration=1,IF($A269&lt;VLOOKUP(I$5,NFI,5,0),1,0)*Data_NFI_t[[#This Row],[Hygiene Kit]],0)</f>
        <v>0</v>
      </c>
      <c r="U269" s="150">
        <f>IF(NFI_Expiration=1,IF($A269&lt;VLOOKUP(J$5,NFI,5,0),1,0)*Data_NFI_t[[#This Row],[NFI Core Kit]],0)</f>
        <v>0</v>
      </c>
      <c r="V269" s="131">
        <f>IF(NFI_Expiration=1,IF($A269&lt;VLOOKUP(K$5,NFI,5,0),1,0)*Data_NFI_t[[#This Row],[Sanitary Kit]],0)</f>
        <v>0</v>
      </c>
      <c r="W269" s="131">
        <f>IF(NFI_Expiration=1,IF($A269&lt;VLOOKUP(L$5,NFI,5,0),1,0)*Data_NFI_t[[#This Row],[Mosquito net]],0)</f>
        <v>0</v>
      </c>
      <c r="X269" s="131">
        <f>IF(NFI_Expiration=1,IF($A269&lt;VLOOKUP(M$5,NFI,5,0),1,0)*Data_NFI_t[[#This Row],[Tarpaulin]],0)</f>
        <v>0</v>
      </c>
      <c r="Y269" s="131">
        <f>IF(NFI_Expiration=1,IF($A269&lt;VLOOKUP(N$5,NFI,5,0),1,0)*Data_NFI_t[[#This Row],[Blanket]],0)</f>
        <v>0</v>
      </c>
      <c r="Z269" s="131">
        <f>IF(NFI_Expiration=1,IF($A269&lt;VLOOKUP(O$5,NFI,5,0),1,0)*Data_NFI_t[[#This Row],[Kitchen Set]],0)</f>
        <v>0</v>
      </c>
      <c r="AA269" s="131">
        <f>IF(NFI_Expiration=1,IF($A269&lt;VLOOKUP(P$5,NFI,5,0),1,0)*Data_NFI_t[[#This Row],[Complementary Kit]],0)</f>
        <v>0</v>
      </c>
      <c r="AB269" s="131">
        <f>IF(NFI_Expiration=1,IF($A269&lt;VLOOKUP(Q$5,NFI,5,0),1,0)*Data_NFI_t[[#This Row],[Plastic Bucket]],0)</f>
        <v>0</v>
      </c>
      <c r="AC269" s="131">
        <f>IF(NFI_Expiration=1,IF($A269&lt;VLOOKUP(R$5,NFI,5,0),1,0)*Data_NFI_t[[#This Row],[Jerry Can]],0)</f>
        <v>0</v>
      </c>
      <c r="AD269" s="150">
        <f>IF(NFI_Expiration=1,IF($A269&lt;VLOOKUP(S$5,NFI,5,0),1,0)*Data_NFI_t[[#This Row],[Plastic Mat]],0)*IF(Data_NFI_t[[#This Row],[Distribution Date]]&gt;"01-04-2014",1,2.5)</f>
        <v>0</v>
      </c>
      <c r="AE269" s="150" t="str">
        <f ca="1">IFERROR(OFFSET(Camp_List[P_Code],MATCH(Data_NFI_t[[#This Row],[Camp Name]],Camp_List[Camp Name],0)-1,0,1,1),"")</f>
        <v>MMR012CMP027</v>
      </c>
      <c r="AF269" s="714" t="str">
        <f ca="1">IFERROR(OFFSET(Camp_List[Status],MATCH(Data_NFI_t[[#This Row],[Camp Name]],Camp_List[Camp Name],0)-1,0,1,1),"")</f>
        <v>Open</v>
      </c>
    </row>
    <row r="270" spans="1:32" s="102" customFormat="1" ht="15" customHeight="1" x14ac:dyDescent="0.25">
      <c r="A270" s="265">
        <f t="shared" si="4"/>
        <v>36.1</v>
      </c>
      <c r="B270" s="265">
        <f>YEAR(Data_NFI_t[[#This Row],[Distribution Date]])</f>
        <v>2012</v>
      </c>
      <c r="C270" s="738">
        <v>41256</v>
      </c>
      <c r="D270" s="655" t="s">
        <v>288</v>
      </c>
      <c r="E270" s="654"/>
      <c r="F270" s="655" t="s">
        <v>7</v>
      </c>
      <c r="G270" s="31" t="s">
        <v>15</v>
      </c>
      <c r="H270" s="31" t="s">
        <v>50</v>
      </c>
      <c r="I270" s="31"/>
      <c r="J270" s="61"/>
      <c r="K270" s="61"/>
      <c r="L270" s="61">
        <v>460</v>
      </c>
      <c r="M270" s="61"/>
      <c r="N270" s="61">
        <v>460</v>
      </c>
      <c r="O270" s="61">
        <v>145</v>
      </c>
      <c r="P270" s="61"/>
      <c r="Q270" s="61"/>
      <c r="R270" s="708"/>
      <c r="S270" s="61"/>
      <c r="T270" s="150">
        <f>IF(NFI_Expiration=1,IF($A270&lt;VLOOKUP(I$5,NFI,5,0),1,0)*Data_NFI_t[[#This Row],[Hygiene Kit]],0)</f>
        <v>0</v>
      </c>
      <c r="U270" s="150">
        <f>IF(NFI_Expiration=1,IF($A270&lt;VLOOKUP(J$5,NFI,5,0),1,0)*Data_NFI_t[[#This Row],[NFI Core Kit]],0)</f>
        <v>0</v>
      </c>
      <c r="V270" s="131">
        <f>IF(NFI_Expiration=1,IF($A270&lt;VLOOKUP(K$5,NFI,5,0),1,0)*Data_NFI_t[[#This Row],[Sanitary Kit]],0)</f>
        <v>0</v>
      </c>
      <c r="W270" s="131">
        <f>IF(NFI_Expiration=1,IF($A270&lt;VLOOKUP(L$5,NFI,5,0),1,0)*Data_NFI_t[[#This Row],[Mosquito net]],0)</f>
        <v>0</v>
      </c>
      <c r="X270" s="131">
        <f>IF(NFI_Expiration=1,IF($A270&lt;VLOOKUP(M$5,NFI,5,0),1,0)*Data_NFI_t[[#This Row],[Tarpaulin]],0)</f>
        <v>0</v>
      </c>
      <c r="Y270" s="131">
        <f>IF(NFI_Expiration=1,IF($A270&lt;VLOOKUP(N$5,NFI,5,0),1,0)*Data_NFI_t[[#This Row],[Blanket]],0)</f>
        <v>0</v>
      </c>
      <c r="Z270" s="131">
        <f>IF(NFI_Expiration=1,IF($A270&lt;VLOOKUP(O$5,NFI,5,0),1,0)*Data_NFI_t[[#This Row],[Kitchen Set]],0)</f>
        <v>0</v>
      </c>
      <c r="AA270" s="131">
        <f>IF(NFI_Expiration=1,IF($A270&lt;VLOOKUP(P$5,NFI,5,0),1,0)*Data_NFI_t[[#This Row],[Complementary Kit]],0)</f>
        <v>0</v>
      </c>
      <c r="AB270" s="131">
        <f>IF(NFI_Expiration=1,IF($A270&lt;VLOOKUP(Q$5,NFI,5,0),1,0)*Data_NFI_t[[#This Row],[Plastic Bucket]],0)</f>
        <v>0</v>
      </c>
      <c r="AC270" s="131">
        <f>IF(NFI_Expiration=1,IF($A270&lt;VLOOKUP(R$5,NFI,5,0),1,0)*Data_NFI_t[[#This Row],[Jerry Can]],0)</f>
        <v>0</v>
      </c>
      <c r="AD270" s="150">
        <f>IF(NFI_Expiration=1,IF($A270&lt;VLOOKUP(S$5,NFI,5,0),1,0)*Data_NFI_t[[#This Row],[Plastic Mat]],0)*IF(Data_NFI_t[[#This Row],[Distribution Date]]&gt;"01-04-2014",1,2.5)</f>
        <v>0</v>
      </c>
      <c r="AE270" s="150" t="str">
        <f ca="1">IFERROR(OFFSET(Camp_List[P_Code],MATCH(Data_NFI_t[[#This Row],[Camp Name]],Camp_List[Camp Name],0)-1,0,1,1),"")</f>
        <v>MMR012CMP026</v>
      </c>
      <c r="AF270" s="714" t="str">
        <f ca="1">IFERROR(OFFSET(Camp_List[Status],MATCH(Data_NFI_t[[#This Row],[Camp Name]],Camp_List[Camp Name],0)-1,0,1,1),"")</f>
        <v>Open</v>
      </c>
    </row>
    <row r="271" spans="1:32" s="102" customFormat="1" ht="15" customHeight="1" x14ac:dyDescent="0.25">
      <c r="A271" s="265">
        <f t="shared" si="4"/>
        <v>36.1</v>
      </c>
      <c r="B271" s="265">
        <f>YEAR(Data_NFI_t[[#This Row],[Distribution Date]])</f>
        <v>2012</v>
      </c>
      <c r="C271" s="738">
        <v>41256</v>
      </c>
      <c r="D271" s="655" t="s">
        <v>288</v>
      </c>
      <c r="E271" s="654"/>
      <c r="F271" s="655" t="s">
        <v>7</v>
      </c>
      <c r="G271" s="31" t="s">
        <v>19</v>
      </c>
      <c r="H271" s="31" t="s">
        <v>64</v>
      </c>
      <c r="I271" s="31"/>
      <c r="J271" s="61"/>
      <c r="K271" s="61">
        <v>310</v>
      </c>
      <c r="L271" s="61"/>
      <c r="M271" s="61"/>
      <c r="N271" s="61"/>
      <c r="O271" s="61"/>
      <c r="P271" s="61"/>
      <c r="Q271" s="61"/>
      <c r="R271" s="708"/>
      <c r="S271" s="61"/>
      <c r="T271" s="150">
        <f>IF(NFI_Expiration=1,IF($A271&lt;VLOOKUP(I$5,NFI,5,0),1,0)*Data_NFI_t[[#This Row],[Hygiene Kit]],0)</f>
        <v>0</v>
      </c>
      <c r="U271" s="150">
        <f>IF(NFI_Expiration=1,IF($A271&lt;VLOOKUP(J$5,NFI,5,0),1,0)*Data_NFI_t[[#This Row],[NFI Core Kit]],0)</f>
        <v>0</v>
      </c>
      <c r="V271" s="131">
        <f>IF(NFI_Expiration=1,IF($A271&lt;VLOOKUP(K$5,NFI,5,0),1,0)*Data_NFI_t[[#This Row],[Sanitary Kit]],0)</f>
        <v>0</v>
      </c>
      <c r="W271" s="131">
        <f>IF(NFI_Expiration=1,IF($A271&lt;VLOOKUP(L$5,NFI,5,0),1,0)*Data_NFI_t[[#This Row],[Mosquito net]],0)</f>
        <v>0</v>
      </c>
      <c r="X271" s="131">
        <f>IF(NFI_Expiration=1,IF($A271&lt;VLOOKUP(M$5,NFI,5,0),1,0)*Data_NFI_t[[#This Row],[Tarpaulin]],0)</f>
        <v>0</v>
      </c>
      <c r="Y271" s="131">
        <f>IF(NFI_Expiration=1,IF($A271&lt;VLOOKUP(N$5,NFI,5,0),1,0)*Data_NFI_t[[#This Row],[Blanket]],0)</f>
        <v>0</v>
      </c>
      <c r="Z271" s="131">
        <f>IF(NFI_Expiration=1,IF($A271&lt;VLOOKUP(O$5,NFI,5,0),1,0)*Data_NFI_t[[#This Row],[Kitchen Set]],0)</f>
        <v>0</v>
      </c>
      <c r="AA271" s="131">
        <f>IF(NFI_Expiration=1,IF($A271&lt;VLOOKUP(P$5,NFI,5,0),1,0)*Data_NFI_t[[#This Row],[Complementary Kit]],0)</f>
        <v>0</v>
      </c>
      <c r="AB271" s="131">
        <f>IF(NFI_Expiration=1,IF($A271&lt;VLOOKUP(Q$5,NFI,5,0),1,0)*Data_NFI_t[[#This Row],[Plastic Bucket]],0)</f>
        <v>0</v>
      </c>
      <c r="AC271" s="131">
        <f>IF(NFI_Expiration=1,IF($A271&lt;VLOOKUP(R$5,NFI,5,0),1,0)*Data_NFI_t[[#This Row],[Jerry Can]],0)</f>
        <v>0</v>
      </c>
      <c r="AD271" s="150">
        <f>IF(NFI_Expiration=1,IF($A271&lt;VLOOKUP(S$5,NFI,5,0),1,0)*Data_NFI_t[[#This Row],[Plastic Mat]],0)*IF(Data_NFI_t[[#This Row],[Distribution Date]]&gt;"01-04-2014",1,2.5)</f>
        <v>0</v>
      </c>
      <c r="AE271" s="150" t="str">
        <f ca="1">IFERROR(OFFSET(Camp_List[P_Code],MATCH(Data_NFI_t[[#This Row],[Camp Name]],Camp_List[Camp Name],0)-1,0,1,1),"")</f>
        <v>MMR012CMP042</v>
      </c>
      <c r="AF271" s="714" t="str">
        <f ca="1">IFERROR(OFFSET(Camp_List[Status],MATCH(Data_NFI_t[[#This Row],[Camp Name]],Camp_List[Camp Name],0)-1,0,1,1),"")</f>
        <v>Open</v>
      </c>
    </row>
    <row r="272" spans="1:32" s="102" customFormat="1" ht="15" customHeight="1" x14ac:dyDescent="0.25">
      <c r="A272" s="265">
        <f t="shared" si="4"/>
        <v>36.1</v>
      </c>
      <c r="B272" s="265">
        <f>YEAR(Data_NFI_t[[#This Row],[Distribution Date]])</f>
        <v>2012</v>
      </c>
      <c r="C272" s="738">
        <v>41256</v>
      </c>
      <c r="D272" s="655" t="s">
        <v>288</v>
      </c>
      <c r="E272" s="654"/>
      <c r="F272" s="655" t="s">
        <v>7</v>
      </c>
      <c r="G272" s="31" t="s">
        <v>15</v>
      </c>
      <c r="H272" s="31" t="s">
        <v>44</v>
      </c>
      <c r="I272" s="31"/>
      <c r="J272" s="61"/>
      <c r="K272" s="61"/>
      <c r="L272" s="61">
        <v>36</v>
      </c>
      <c r="M272" s="61"/>
      <c r="N272" s="61">
        <v>36</v>
      </c>
      <c r="O272" s="61">
        <v>18</v>
      </c>
      <c r="P272" s="61">
        <v>18</v>
      </c>
      <c r="Q272" s="61"/>
      <c r="R272" s="708"/>
      <c r="S272" s="61"/>
      <c r="T272" s="150">
        <f>IF(NFI_Expiration=1,IF($A272&lt;VLOOKUP(I$5,NFI,5,0),1,0)*Data_NFI_t[[#This Row],[Hygiene Kit]],0)</f>
        <v>0</v>
      </c>
      <c r="U272" s="150">
        <f>IF(NFI_Expiration=1,IF($A272&lt;VLOOKUP(J$5,NFI,5,0),1,0)*Data_NFI_t[[#This Row],[NFI Core Kit]],0)</f>
        <v>0</v>
      </c>
      <c r="V272" s="131">
        <f>IF(NFI_Expiration=1,IF($A272&lt;VLOOKUP(K$5,NFI,5,0),1,0)*Data_NFI_t[[#This Row],[Sanitary Kit]],0)</f>
        <v>0</v>
      </c>
      <c r="W272" s="131">
        <f>IF(NFI_Expiration=1,IF($A272&lt;VLOOKUP(L$5,NFI,5,0),1,0)*Data_NFI_t[[#This Row],[Mosquito net]],0)</f>
        <v>0</v>
      </c>
      <c r="X272" s="131">
        <f>IF(NFI_Expiration=1,IF($A272&lt;VLOOKUP(M$5,NFI,5,0),1,0)*Data_NFI_t[[#This Row],[Tarpaulin]],0)</f>
        <v>0</v>
      </c>
      <c r="Y272" s="131">
        <f>IF(NFI_Expiration=1,IF($A272&lt;VLOOKUP(N$5,NFI,5,0),1,0)*Data_NFI_t[[#This Row],[Blanket]],0)</f>
        <v>0</v>
      </c>
      <c r="Z272" s="131">
        <f>IF(NFI_Expiration=1,IF($A272&lt;VLOOKUP(O$5,NFI,5,0),1,0)*Data_NFI_t[[#This Row],[Kitchen Set]],0)</f>
        <v>0</v>
      </c>
      <c r="AA272" s="131">
        <f>IF(NFI_Expiration=1,IF($A272&lt;VLOOKUP(P$5,NFI,5,0),1,0)*Data_NFI_t[[#This Row],[Complementary Kit]],0)</f>
        <v>0</v>
      </c>
      <c r="AB272" s="131">
        <f>IF(NFI_Expiration=1,IF($A272&lt;VLOOKUP(Q$5,NFI,5,0),1,0)*Data_NFI_t[[#This Row],[Plastic Bucket]],0)</f>
        <v>0</v>
      </c>
      <c r="AC272" s="131">
        <f>IF(NFI_Expiration=1,IF($A272&lt;VLOOKUP(R$5,NFI,5,0),1,0)*Data_NFI_t[[#This Row],[Jerry Can]],0)</f>
        <v>0</v>
      </c>
      <c r="AD272" s="150">
        <f>IF(NFI_Expiration=1,IF($A272&lt;VLOOKUP(S$5,NFI,5,0),1,0)*Data_NFI_t[[#This Row],[Plastic Mat]],0)*IF(Data_NFI_t[[#This Row],[Distribution Date]]&gt;"01-04-2014",1,2.5)</f>
        <v>0</v>
      </c>
      <c r="AE272" s="150" t="str">
        <f ca="1">IFERROR(OFFSET(Camp_List[P_Code],MATCH(Data_NFI_t[[#This Row],[Camp Name]],Camp_List[Camp Name],0)-1,0,1,1),"")</f>
        <v>MMR012CMP020</v>
      </c>
      <c r="AF272" s="714" t="str">
        <f ca="1">IFERROR(OFFSET(Camp_List[Status],MATCH(Data_NFI_t[[#This Row],[Camp Name]],Camp_List[Camp Name],0)-1,0,1,1),"")</f>
        <v>Open</v>
      </c>
    </row>
    <row r="273" spans="1:32" s="102" customFormat="1" ht="15" customHeight="1" x14ac:dyDescent="0.25">
      <c r="A273" s="265">
        <f t="shared" si="4"/>
        <v>36.1</v>
      </c>
      <c r="B273" s="265">
        <f>YEAR(Data_NFI_t[[#This Row],[Distribution Date]])</f>
        <v>2012</v>
      </c>
      <c r="C273" s="738">
        <v>41256</v>
      </c>
      <c r="D273" s="655" t="s">
        <v>288</v>
      </c>
      <c r="E273" s="654"/>
      <c r="F273" s="655" t="s">
        <v>7</v>
      </c>
      <c r="G273" s="31" t="s">
        <v>19</v>
      </c>
      <c r="H273" s="31" t="s">
        <v>65</v>
      </c>
      <c r="I273" s="31"/>
      <c r="J273" s="61"/>
      <c r="K273" s="61">
        <v>65</v>
      </c>
      <c r="L273" s="61"/>
      <c r="M273" s="61"/>
      <c r="N273" s="61"/>
      <c r="O273" s="61"/>
      <c r="P273" s="61"/>
      <c r="Q273" s="61"/>
      <c r="R273" s="708"/>
      <c r="S273" s="61"/>
      <c r="T273" s="150">
        <f>IF(NFI_Expiration=1,IF($A273&lt;VLOOKUP(I$5,NFI,5,0),1,0)*Data_NFI_t[[#This Row],[Hygiene Kit]],0)</f>
        <v>0</v>
      </c>
      <c r="U273" s="150">
        <f>IF(NFI_Expiration=1,IF($A273&lt;VLOOKUP(J$5,NFI,5,0),1,0)*Data_NFI_t[[#This Row],[NFI Core Kit]],0)</f>
        <v>0</v>
      </c>
      <c r="V273" s="131">
        <f>IF(NFI_Expiration=1,IF($A273&lt;VLOOKUP(K$5,NFI,5,0),1,0)*Data_NFI_t[[#This Row],[Sanitary Kit]],0)</f>
        <v>0</v>
      </c>
      <c r="W273" s="131">
        <f>IF(NFI_Expiration=1,IF($A273&lt;VLOOKUP(L$5,NFI,5,0),1,0)*Data_NFI_t[[#This Row],[Mosquito net]],0)</f>
        <v>0</v>
      </c>
      <c r="X273" s="131">
        <f>IF(NFI_Expiration=1,IF($A273&lt;VLOOKUP(M$5,NFI,5,0),1,0)*Data_NFI_t[[#This Row],[Tarpaulin]],0)</f>
        <v>0</v>
      </c>
      <c r="Y273" s="131">
        <f>IF(NFI_Expiration=1,IF($A273&lt;VLOOKUP(N$5,NFI,5,0),1,0)*Data_NFI_t[[#This Row],[Blanket]],0)</f>
        <v>0</v>
      </c>
      <c r="Z273" s="131">
        <f>IF(NFI_Expiration=1,IF($A273&lt;VLOOKUP(O$5,NFI,5,0),1,0)*Data_NFI_t[[#This Row],[Kitchen Set]],0)</f>
        <v>0</v>
      </c>
      <c r="AA273" s="131">
        <f>IF(NFI_Expiration=1,IF($A273&lt;VLOOKUP(P$5,NFI,5,0),1,0)*Data_NFI_t[[#This Row],[Complementary Kit]],0)</f>
        <v>0</v>
      </c>
      <c r="AB273" s="131">
        <f>IF(NFI_Expiration=1,IF($A273&lt;VLOOKUP(Q$5,NFI,5,0),1,0)*Data_NFI_t[[#This Row],[Plastic Bucket]],0)</f>
        <v>0</v>
      </c>
      <c r="AC273" s="131">
        <f>IF(NFI_Expiration=1,IF($A273&lt;VLOOKUP(R$5,NFI,5,0),1,0)*Data_NFI_t[[#This Row],[Jerry Can]],0)</f>
        <v>0</v>
      </c>
      <c r="AD273" s="150">
        <f>IF(NFI_Expiration=1,IF($A273&lt;VLOOKUP(S$5,NFI,5,0),1,0)*Data_NFI_t[[#This Row],[Plastic Mat]],0)*IF(Data_NFI_t[[#This Row],[Distribution Date]]&gt;"01-04-2014",1,2.5)</f>
        <v>0</v>
      </c>
      <c r="AE273" s="150" t="str">
        <f ca="1">IFERROR(OFFSET(Camp_List[P_Code],MATCH(Data_NFI_t[[#This Row],[Camp Name]],Camp_List[Camp Name],0)-1,0,1,1),"")</f>
        <v>MMR012CMP043</v>
      </c>
      <c r="AF273" s="714" t="str">
        <f ca="1">IFERROR(OFFSET(Camp_List[Status],MATCH(Data_NFI_t[[#This Row],[Camp Name]],Camp_List[Camp Name],0)-1,0,1,1),"")</f>
        <v>Close</v>
      </c>
    </row>
    <row r="274" spans="1:32" s="102" customFormat="1" ht="15" customHeight="1" x14ac:dyDescent="0.25">
      <c r="A274" s="265">
        <f t="shared" si="4"/>
        <v>36.1</v>
      </c>
      <c r="B274" s="265">
        <f>YEAR(Data_NFI_t[[#This Row],[Distribution Date]])</f>
        <v>2012</v>
      </c>
      <c r="C274" s="738">
        <v>41256</v>
      </c>
      <c r="D274" s="655" t="s">
        <v>288</v>
      </c>
      <c r="E274" s="654"/>
      <c r="F274" s="655" t="s">
        <v>7</v>
      </c>
      <c r="G274" s="31" t="s">
        <v>11</v>
      </c>
      <c r="H274" s="31" t="s">
        <v>25</v>
      </c>
      <c r="I274" s="31"/>
      <c r="J274" s="61"/>
      <c r="K274" s="61"/>
      <c r="L274" s="61">
        <v>38</v>
      </c>
      <c r="M274" s="61"/>
      <c r="N274" s="61">
        <v>38</v>
      </c>
      <c r="O274" s="61">
        <v>19</v>
      </c>
      <c r="P274" s="61"/>
      <c r="Q274" s="61"/>
      <c r="R274" s="708"/>
      <c r="S274" s="61"/>
      <c r="T274" s="150">
        <f>IF(NFI_Expiration=1,IF($A274&lt;VLOOKUP(I$5,NFI,5,0),1,0)*Data_NFI_t[[#This Row],[Hygiene Kit]],0)</f>
        <v>0</v>
      </c>
      <c r="U274" s="150">
        <f>IF(NFI_Expiration=1,IF($A274&lt;VLOOKUP(J$5,NFI,5,0),1,0)*Data_NFI_t[[#This Row],[NFI Core Kit]],0)</f>
        <v>0</v>
      </c>
      <c r="V274" s="131">
        <f>IF(NFI_Expiration=1,IF($A274&lt;VLOOKUP(K$5,NFI,5,0),1,0)*Data_NFI_t[[#This Row],[Sanitary Kit]],0)</f>
        <v>0</v>
      </c>
      <c r="W274" s="131">
        <f>IF(NFI_Expiration=1,IF($A274&lt;VLOOKUP(L$5,NFI,5,0),1,0)*Data_NFI_t[[#This Row],[Mosquito net]],0)</f>
        <v>0</v>
      </c>
      <c r="X274" s="131">
        <f>IF(NFI_Expiration=1,IF($A274&lt;VLOOKUP(M$5,NFI,5,0),1,0)*Data_NFI_t[[#This Row],[Tarpaulin]],0)</f>
        <v>0</v>
      </c>
      <c r="Y274" s="131">
        <f>IF(NFI_Expiration=1,IF($A274&lt;VLOOKUP(N$5,NFI,5,0),1,0)*Data_NFI_t[[#This Row],[Blanket]],0)</f>
        <v>0</v>
      </c>
      <c r="Z274" s="131">
        <f>IF(NFI_Expiration=1,IF($A274&lt;VLOOKUP(O$5,NFI,5,0),1,0)*Data_NFI_t[[#This Row],[Kitchen Set]],0)</f>
        <v>0</v>
      </c>
      <c r="AA274" s="131">
        <f>IF(NFI_Expiration=1,IF($A274&lt;VLOOKUP(P$5,NFI,5,0),1,0)*Data_NFI_t[[#This Row],[Complementary Kit]],0)</f>
        <v>0</v>
      </c>
      <c r="AB274" s="131">
        <f>IF(NFI_Expiration=1,IF($A274&lt;VLOOKUP(Q$5,NFI,5,0),1,0)*Data_NFI_t[[#This Row],[Plastic Bucket]],0)</f>
        <v>0</v>
      </c>
      <c r="AC274" s="131">
        <f>IF(NFI_Expiration=1,IF($A274&lt;VLOOKUP(R$5,NFI,5,0),1,0)*Data_NFI_t[[#This Row],[Jerry Can]],0)</f>
        <v>0</v>
      </c>
      <c r="AD274" s="150">
        <f>IF(NFI_Expiration=1,IF($A274&lt;VLOOKUP(S$5,NFI,5,0),1,0)*Data_NFI_t[[#This Row],[Plastic Mat]],0)*IF(Data_NFI_t[[#This Row],[Distribution Date]]&gt;"01-04-2014",1,2.5)</f>
        <v>0</v>
      </c>
      <c r="AE274" s="150" t="str">
        <f ca="1">IFERROR(OFFSET(Camp_List[P_Code],MATCH(Data_NFI_t[[#This Row],[Camp Name]],Camp_List[Camp Name],0)-1,0,1,1),"")</f>
        <v>MMR012CMP001</v>
      </c>
      <c r="AF274" s="714" t="str">
        <f ca="1">IFERROR(OFFSET(Camp_List[Status],MATCH(Data_NFI_t[[#This Row],[Camp Name]],Camp_List[Camp Name],0)-1,0,1,1),"")</f>
        <v>Open</v>
      </c>
    </row>
    <row r="275" spans="1:32" s="102" customFormat="1" ht="15" customHeight="1" x14ac:dyDescent="0.25">
      <c r="A275" s="265">
        <f t="shared" si="4"/>
        <v>36.1</v>
      </c>
      <c r="B275" s="265">
        <f>YEAR(Data_NFI_t[[#This Row],[Distribution Date]])</f>
        <v>2012</v>
      </c>
      <c r="C275" s="738">
        <v>41256</v>
      </c>
      <c r="D275" s="655" t="s">
        <v>288</v>
      </c>
      <c r="E275" s="654"/>
      <c r="F275" s="655" t="s">
        <v>7</v>
      </c>
      <c r="G275" s="31" t="s">
        <v>19</v>
      </c>
      <c r="H275" s="31" t="s">
        <v>66</v>
      </c>
      <c r="I275" s="31"/>
      <c r="J275" s="61"/>
      <c r="K275" s="61">
        <v>374</v>
      </c>
      <c r="L275" s="61"/>
      <c r="M275" s="61"/>
      <c r="N275" s="61"/>
      <c r="O275" s="61"/>
      <c r="P275" s="61"/>
      <c r="Q275" s="61"/>
      <c r="R275" s="708"/>
      <c r="S275" s="61"/>
      <c r="T275" s="150">
        <f>IF(NFI_Expiration=1,IF($A275&lt;VLOOKUP(I$5,NFI,5,0),1,0)*Data_NFI_t[[#This Row],[Hygiene Kit]],0)</f>
        <v>0</v>
      </c>
      <c r="U275" s="150">
        <f>IF(NFI_Expiration=1,IF($A275&lt;VLOOKUP(J$5,NFI,5,0),1,0)*Data_NFI_t[[#This Row],[NFI Core Kit]],0)</f>
        <v>0</v>
      </c>
      <c r="V275" s="131">
        <f>IF(NFI_Expiration=1,IF($A275&lt;VLOOKUP(K$5,NFI,5,0),1,0)*Data_NFI_t[[#This Row],[Sanitary Kit]],0)</f>
        <v>0</v>
      </c>
      <c r="W275" s="131">
        <f>IF(NFI_Expiration=1,IF($A275&lt;VLOOKUP(L$5,NFI,5,0),1,0)*Data_NFI_t[[#This Row],[Mosquito net]],0)</f>
        <v>0</v>
      </c>
      <c r="X275" s="131">
        <f>IF(NFI_Expiration=1,IF($A275&lt;VLOOKUP(M$5,NFI,5,0),1,0)*Data_NFI_t[[#This Row],[Tarpaulin]],0)</f>
        <v>0</v>
      </c>
      <c r="Y275" s="131">
        <f>IF(NFI_Expiration=1,IF($A275&lt;VLOOKUP(N$5,NFI,5,0),1,0)*Data_NFI_t[[#This Row],[Blanket]],0)</f>
        <v>0</v>
      </c>
      <c r="Z275" s="131">
        <f>IF(NFI_Expiration=1,IF($A275&lt;VLOOKUP(O$5,NFI,5,0),1,0)*Data_NFI_t[[#This Row],[Kitchen Set]],0)</f>
        <v>0</v>
      </c>
      <c r="AA275" s="131">
        <f>IF(NFI_Expiration=1,IF($A275&lt;VLOOKUP(P$5,NFI,5,0),1,0)*Data_NFI_t[[#This Row],[Complementary Kit]],0)</f>
        <v>0</v>
      </c>
      <c r="AB275" s="131">
        <f>IF(NFI_Expiration=1,IF($A275&lt;VLOOKUP(Q$5,NFI,5,0),1,0)*Data_NFI_t[[#This Row],[Plastic Bucket]],0)</f>
        <v>0</v>
      </c>
      <c r="AC275" s="131">
        <f>IF(NFI_Expiration=1,IF($A275&lt;VLOOKUP(R$5,NFI,5,0),1,0)*Data_NFI_t[[#This Row],[Jerry Can]],0)</f>
        <v>0</v>
      </c>
      <c r="AD275" s="150">
        <f>IF(NFI_Expiration=1,IF($A275&lt;VLOOKUP(S$5,NFI,5,0),1,0)*Data_NFI_t[[#This Row],[Plastic Mat]],0)*IF(Data_NFI_t[[#This Row],[Distribution Date]]&gt;"01-04-2014",1,2.5)</f>
        <v>0</v>
      </c>
      <c r="AE275" s="150" t="str">
        <f ca="1">IFERROR(OFFSET(Camp_List[P_Code],MATCH(Data_NFI_t[[#This Row],[Camp Name]],Camp_List[Camp Name],0)-1,0,1,1),"")</f>
        <v>MMR012CMP044</v>
      </c>
      <c r="AF275" s="714" t="str">
        <f ca="1">IFERROR(OFFSET(Camp_List[Status],MATCH(Data_NFI_t[[#This Row],[Camp Name]],Camp_List[Camp Name],0)-1,0,1,1),"")</f>
        <v>Close</v>
      </c>
    </row>
    <row r="276" spans="1:32" s="102" customFormat="1" ht="15" customHeight="1" x14ac:dyDescent="0.25">
      <c r="A276" s="265">
        <f t="shared" si="4"/>
        <v>36.1</v>
      </c>
      <c r="B276" s="265">
        <f>YEAR(Data_NFI_t[[#This Row],[Distribution Date]])</f>
        <v>2012</v>
      </c>
      <c r="C276" s="738">
        <v>41256</v>
      </c>
      <c r="D276" s="655" t="s">
        <v>288</v>
      </c>
      <c r="E276" s="654"/>
      <c r="F276" s="655" t="s">
        <v>7</v>
      </c>
      <c r="G276" s="31" t="s">
        <v>19</v>
      </c>
      <c r="H276" s="31" t="s">
        <v>67</v>
      </c>
      <c r="I276" s="31"/>
      <c r="J276" s="61"/>
      <c r="K276" s="61">
        <v>1460</v>
      </c>
      <c r="L276" s="61"/>
      <c r="M276" s="61"/>
      <c r="N276" s="61"/>
      <c r="O276" s="61"/>
      <c r="P276" s="61"/>
      <c r="Q276" s="61"/>
      <c r="R276" s="708"/>
      <c r="S276" s="61"/>
      <c r="T276" s="150">
        <f>IF(NFI_Expiration=1,IF($A276&lt;VLOOKUP(I$5,NFI,5,0),1,0)*Data_NFI_t[[#This Row],[Hygiene Kit]],0)</f>
        <v>0</v>
      </c>
      <c r="U276" s="150">
        <f>IF(NFI_Expiration=1,IF($A276&lt;VLOOKUP(J$5,NFI,5,0),1,0)*Data_NFI_t[[#This Row],[NFI Core Kit]],0)</f>
        <v>0</v>
      </c>
      <c r="V276" s="131">
        <f>IF(NFI_Expiration=1,IF($A276&lt;VLOOKUP(K$5,NFI,5,0),1,0)*Data_NFI_t[[#This Row],[Sanitary Kit]],0)</f>
        <v>0</v>
      </c>
      <c r="W276" s="131">
        <f>IF(NFI_Expiration=1,IF($A276&lt;VLOOKUP(L$5,NFI,5,0),1,0)*Data_NFI_t[[#This Row],[Mosquito net]],0)</f>
        <v>0</v>
      </c>
      <c r="X276" s="131">
        <f>IF(NFI_Expiration=1,IF($A276&lt;VLOOKUP(M$5,NFI,5,0),1,0)*Data_NFI_t[[#This Row],[Tarpaulin]],0)</f>
        <v>0</v>
      </c>
      <c r="Y276" s="131">
        <f>IF(NFI_Expiration=1,IF($A276&lt;VLOOKUP(N$5,NFI,5,0),1,0)*Data_NFI_t[[#This Row],[Blanket]],0)</f>
        <v>0</v>
      </c>
      <c r="Z276" s="131">
        <f>IF(NFI_Expiration=1,IF($A276&lt;VLOOKUP(O$5,NFI,5,0),1,0)*Data_NFI_t[[#This Row],[Kitchen Set]],0)</f>
        <v>0</v>
      </c>
      <c r="AA276" s="131">
        <f>IF(NFI_Expiration=1,IF($A276&lt;VLOOKUP(P$5,NFI,5,0),1,0)*Data_NFI_t[[#This Row],[Complementary Kit]],0)</f>
        <v>0</v>
      </c>
      <c r="AB276" s="131">
        <f>IF(NFI_Expiration=1,IF($A276&lt;VLOOKUP(Q$5,NFI,5,0),1,0)*Data_NFI_t[[#This Row],[Plastic Bucket]],0)</f>
        <v>0</v>
      </c>
      <c r="AC276" s="131">
        <f>IF(NFI_Expiration=1,IF($A276&lt;VLOOKUP(R$5,NFI,5,0),1,0)*Data_NFI_t[[#This Row],[Jerry Can]],0)</f>
        <v>0</v>
      </c>
      <c r="AD276" s="150">
        <f>IF(NFI_Expiration=1,IF($A276&lt;VLOOKUP(S$5,NFI,5,0),1,0)*Data_NFI_t[[#This Row],[Plastic Mat]],0)*IF(Data_NFI_t[[#This Row],[Distribution Date]]&gt;"01-04-2014",1,2.5)</f>
        <v>0</v>
      </c>
      <c r="AE276" s="150" t="str">
        <f ca="1">IFERROR(OFFSET(Camp_List[P_Code],MATCH(Data_NFI_t[[#This Row],[Camp Name]],Camp_List[Camp Name],0)-1,0,1,1),"")</f>
        <v>MMR012CMP045</v>
      </c>
      <c r="AF276" s="714" t="str">
        <f ca="1">IFERROR(OFFSET(Camp_List[Status],MATCH(Data_NFI_t[[#This Row],[Camp Name]],Camp_List[Camp Name],0)-1,0,1,1),"")</f>
        <v>Open</v>
      </c>
    </row>
    <row r="277" spans="1:32" s="102" customFormat="1" ht="15" customHeight="1" x14ac:dyDescent="0.25">
      <c r="A277" s="265">
        <f t="shared" si="4"/>
        <v>36.1</v>
      </c>
      <c r="B277" s="265">
        <f>YEAR(Data_NFI_t[[#This Row],[Distribution Date]])</f>
        <v>2012</v>
      </c>
      <c r="C277" s="738">
        <v>41256</v>
      </c>
      <c r="D277" s="655" t="s">
        <v>288</v>
      </c>
      <c r="E277" s="654"/>
      <c r="F277" s="655" t="s">
        <v>7</v>
      </c>
      <c r="G277" s="31" t="s">
        <v>15</v>
      </c>
      <c r="H277" s="31" t="s">
        <v>53</v>
      </c>
      <c r="I277" s="31"/>
      <c r="J277" s="61"/>
      <c r="K277" s="61"/>
      <c r="L277" s="61">
        <v>290</v>
      </c>
      <c r="M277" s="61"/>
      <c r="N277" s="61"/>
      <c r="O277" s="61"/>
      <c r="P277" s="61"/>
      <c r="Q277" s="61"/>
      <c r="R277" s="708"/>
      <c r="S277" s="61"/>
      <c r="T277" s="150">
        <f>IF(NFI_Expiration=1,IF($A277&lt;VLOOKUP(I$5,NFI,5,0),1,0)*Data_NFI_t[[#This Row],[Hygiene Kit]],0)</f>
        <v>0</v>
      </c>
      <c r="U277" s="150">
        <f>IF(NFI_Expiration=1,IF($A277&lt;VLOOKUP(J$5,NFI,5,0),1,0)*Data_NFI_t[[#This Row],[NFI Core Kit]],0)</f>
        <v>0</v>
      </c>
      <c r="V277" s="131">
        <f>IF(NFI_Expiration=1,IF($A277&lt;VLOOKUP(K$5,NFI,5,0),1,0)*Data_NFI_t[[#This Row],[Sanitary Kit]],0)</f>
        <v>0</v>
      </c>
      <c r="W277" s="131">
        <f>IF(NFI_Expiration=1,IF($A277&lt;VLOOKUP(L$5,NFI,5,0),1,0)*Data_NFI_t[[#This Row],[Mosquito net]],0)</f>
        <v>0</v>
      </c>
      <c r="X277" s="131">
        <f>IF(NFI_Expiration=1,IF($A277&lt;VLOOKUP(M$5,NFI,5,0),1,0)*Data_NFI_t[[#This Row],[Tarpaulin]],0)</f>
        <v>0</v>
      </c>
      <c r="Y277" s="131">
        <f>IF(NFI_Expiration=1,IF($A277&lt;VLOOKUP(N$5,NFI,5,0),1,0)*Data_NFI_t[[#This Row],[Blanket]],0)</f>
        <v>0</v>
      </c>
      <c r="Z277" s="131">
        <f>IF(NFI_Expiration=1,IF($A277&lt;VLOOKUP(O$5,NFI,5,0),1,0)*Data_NFI_t[[#This Row],[Kitchen Set]],0)</f>
        <v>0</v>
      </c>
      <c r="AA277" s="131">
        <f>IF(NFI_Expiration=1,IF($A277&lt;VLOOKUP(P$5,NFI,5,0),1,0)*Data_NFI_t[[#This Row],[Complementary Kit]],0)</f>
        <v>0</v>
      </c>
      <c r="AB277" s="131">
        <f>IF(NFI_Expiration=1,IF($A277&lt;VLOOKUP(Q$5,NFI,5,0),1,0)*Data_NFI_t[[#This Row],[Plastic Bucket]],0)</f>
        <v>0</v>
      </c>
      <c r="AC277" s="131">
        <f>IF(NFI_Expiration=1,IF($A277&lt;VLOOKUP(R$5,NFI,5,0),1,0)*Data_NFI_t[[#This Row],[Jerry Can]],0)</f>
        <v>0</v>
      </c>
      <c r="AD277" s="150">
        <f>IF(NFI_Expiration=1,IF($A277&lt;VLOOKUP(S$5,NFI,5,0),1,0)*Data_NFI_t[[#This Row],[Plastic Mat]],0)*IF(Data_NFI_t[[#This Row],[Distribution Date]]&gt;"01-04-2014",1,2.5)</f>
        <v>0</v>
      </c>
      <c r="AE277" s="150" t="str">
        <f ca="1">IFERROR(OFFSET(Camp_List[P_Code],MATCH(Data_NFI_t[[#This Row],[Camp Name]],Camp_List[Camp Name],0)-1,0,1,1),"")</f>
        <v>MMR012CMP029</v>
      </c>
      <c r="AF277" s="714" t="str">
        <f ca="1">IFERROR(OFFSET(Camp_List[Status],MATCH(Data_NFI_t[[#This Row],[Camp Name]],Camp_List[Camp Name],0)-1,0,1,1),"")</f>
        <v>Open</v>
      </c>
    </row>
    <row r="278" spans="1:32" s="102" customFormat="1" ht="15" customHeight="1" x14ac:dyDescent="0.25">
      <c r="A278" s="265">
        <f t="shared" si="4"/>
        <v>36.1</v>
      </c>
      <c r="B278" s="265">
        <f>YEAR(Data_NFI_t[[#This Row],[Distribution Date]])</f>
        <v>2012</v>
      </c>
      <c r="C278" s="738">
        <v>41256</v>
      </c>
      <c r="D278" s="655" t="s">
        <v>288</v>
      </c>
      <c r="E278" s="654"/>
      <c r="F278" s="655" t="s">
        <v>7</v>
      </c>
      <c r="G278" s="31" t="s">
        <v>15</v>
      </c>
      <c r="H278" s="31" t="s">
        <v>45</v>
      </c>
      <c r="I278" s="31"/>
      <c r="J278" s="61"/>
      <c r="K278" s="61"/>
      <c r="L278" s="61"/>
      <c r="M278" s="61"/>
      <c r="N278" s="61"/>
      <c r="O278" s="61">
        <v>87</v>
      </c>
      <c r="P278" s="61"/>
      <c r="Q278" s="61"/>
      <c r="R278" s="708"/>
      <c r="S278" s="61"/>
      <c r="T278" s="150">
        <f>IF(NFI_Expiration=1,IF($A278&lt;VLOOKUP(I$5,NFI,5,0),1,0)*Data_NFI_t[[#This Row],[Hygiene Kit]],0)</f>
        <v>0</v>
      </c>
      <c r="U278" s="150">
        <f>IF(NFI_Expiration=1,IF($A278&lt;VLOOKUP(J$5,NFI,5,0),1,0)*Data_NFI_t[[#This Row],[NFI Core Kit]],0)</f>
        <v>0</v>
      </c>
      <c r="V278" s="131">
        <f>IF(NFI_Expiration=1,IF($A278&lt;VLOOKUP(K$5,NFI,5,0),1,0)*Data_NFI_t[[#This Row],[Sanitary Kit]],0)</f>
        <v>0</v>
      </c>
      <c r="W278" s="131">
        <f>IF(NFI_Expiration=1,IF($A278&lt;VLOOKUP(L$5,NFI,5,0),1,0)*Data_NFI_t[[#This Row],[Mosquito net]],0)</f>
        <v>0</v>
      </c>
      <c r="X278" s="131">
        <f>IF(NFI_Expiration=1,IF($A278&lt;VLOOKUP(M$5,NFI,5,0),1,0)*Data_NFI_t[[#This Row],[Tarpaulin]],0)</f>
        <v>0</v>
      </c>
      <c r="Y278" s="131">
        <f>IF(NFI_Expiration=1,IF($A278&lt;VLOOKUP(N$5,NFI,5,0),1,0)*Data_NFI_t[[#This Row],[Blanket]],0)</f>
        <v>0</v>
      </c>
      <c r="Z278" s="131">
        <f>IF(NFI_Expiration=1,IF($A278&lt;VLOOKUP(O$5,NFI,5,0),1,0)*Data_NFI_t[[#This Row],[Kitchen Set]],0)</f>
        <v>0</v>
      </c>
      <c r="AA278" s="131">
        <f>IF(NFI_Expiration=1,IF($A278&lt;VLOOKUP(P$5,NFI,5,0),1,0)*Data_NFI_t[[#This Row],[Complementary Kit]],0)</f>
        <v>0</v>
      </c>
      <c r="AB278" s="131">
        <f>IF(NFI_Expiration=1,IF($A278&lt;VLOOKUP(Q$5,NFI,5,0),1,0)*Data_NFI_t[[#This Row],[Plastic Bucket]],0)</f>
        <v>0</v>
      </c>
      <c r="AC278" s="131">
        <f>IF(NFI_Expiration=1,IF($A278&lt;VLOOKUP(R$5,NFI,5,0),1,0)*Data_NFI_t[[#This Row],[Jerry Can]],0)</f>
        <v>0</v>
      </c>
      <c r="AD278" s="150">
        <f>IF(NFI_Expiration=1,IF($A278&lt;VLOOKUP(S$5,NFI,5,0),1,0)*Data_NFI_t[[#This Row],[Plastic Mat]],0)*IF(Data_NFI_t[[#This Row],[Distribution Date]]&gt;"01-04-2014",1,2.5)</f>
        <v>0</v>
      </c>
      <c r="AE278" s="150" t="str">
        <f ca="1">IFERROR(OFFSET(Camp_List[P_Code],MATCH(Data_NFI_t[[#This Row],[Camp Name]],Camp_List[Camp Name],0)-1,0,1,1),"")</f>
        <v>MMR012CMP021</v>
      </c>
      <c r="AF278" s="714" t="str">
        <f ca="1">IFERROR(OFFSET(Camp_List[Status],MATCH(Data_NFI_t[[#This Row],[Camp Name]],Camp_List[Camp Name],0)-1,0,1,1),"")</f>
        <v>Open</v>
      </c>
    </row>
    <row r="279" spans="1:32" s="102" customFormat="1" ht="15" customHeight="1" x14ac:dyDescent="0.25">
      <c r="A279" s="265">
        <f t="shared" si="4"/>
        <v>36.1</v>
      </c>
      <c r="B279" s="265">
        <f>YEAR(Data_NFI_t[[#This Row],[Distribution Date]])</f>
        <v>2012</v>
      </c>
      <c r="C279" s="738">
        <v>41256</v>
      </c>
      <c r="D279" s="655" t="s">
        <v>288</v>
      </c>
      <c r="E279" s="654"/>
      <c r="F279" s="655" t="s">
        <v>7</v>
      </c>
      <c r="G279" s="31" t="s">
        <v>11</v>
      </c>
      <c r="H279" s="31" t="s">
        <v>26</v>
      </c>
      <c r="I279" s="31"/>
      <c r="J279" s="61"/>
      <c r="K279" s="61"/>
      <c r="L279" s="61"/>
      <c r="M279" s="61"/>
      <c r="N279" s="61"/>
      <c r="O279" s="61">
        <v>203</v>
      </c>
      <c r="P279" s="61"/>
      <c r="Q279" s="61"/>
      <c r="R279" s="708"/>
      <c r="S279" s="61"/>
      <c r="T279" s="150">
        <f>IF(NFI_Expiration=1,IF($A279&lt;VLOOKUP(I$5,NFI,5,0),1,0)*Data_NFI_t[[#This Row],[Hygiene Kit]],0)</f>
        <v>0</v>
      </c>
      <c r="U279" s="150">
        <f>IF(NFI_Expiration=1,IF($A279&lt;VLOOKUP(J$5,NFI,5,0),1,0)*Data_NFI_t[[#This Row],[NFI Core Kit]],0)</f>
        <v>0</v>
      </c>
      <c r="V279" s="131">
        <f>IF(NFI_Expiration=1,IF($A279&lt;VLOOKUP(K$5,NFI,5,0),1,0)*Data_NFI_t[[#This Row],[Sanitary Kit]],0)</f>
        <v>0</v>
      </c>
      <c r="W279" s="131">
        <f>IF(NFI_Expiration=1,IF($A279&lt;VLOOKUP(L$5,NFI,5,0),1,0)*Data_NFI_t[[#This Row],[Mosquito net]],0)</f>
        <v>0</v>
      </c>
      <c r="X279" s="131">
        <f>IF(NFI_Expiration=1,IF($A279&lt;VLOOKUP(M$5,NFI,5,0),1,0)*Data_NFI_t[[#This Row],[Tarpaulin]],0)</f>
        <v>0</v>
      </c>
      <c r="Y279" s="131">
        <f>IF(NFI_Expiration=1,IF($A279&lt;VLOOKUP(N$5,NFI,5,0),1,0)*Data_NFI_t[[#This Row],[Blanket]],0)</f>
        <v>0</v>
      </c>
      <c r="Z279" s="131">
        <f>IF(NFI_Expiration=1,IF($A279&lt;VLOOKUP(O$5,NFI,5,0),1,0)*Data_NFI_t[[#This Row],[Kitchen Set]],0)</f>
        <v>0</v>
      </c>
      <c r="AA279" s="131">
        <f>IF(NFI_Expiration=1,IF($A279&lt;VLOOKUP(P$5,NFI,5,0),1,0)*Data_NFI_t[[#This Row],[Complementary Kit]],0)</f>
        <v>0</v>
      </c>
      <c r="AB279" s="131">
        <f>IF(NFI_Expiration=1,IF($A279&lt;VLOOKUP(Q$5,NFI,5,0),1,0)*Data_NFI_t[[#This Row],[Plastic Bucket]],0)</f>
        <v>0</v>
      </c>
      <c r="AC279" s="131">
        <f>IF(NFI_Expiration=1,IF($A279&lt;VLOOKUP(R$5,NFI,5,0),1,0)*Data_NFI_t[[#This Row],[Jerry Can]],0)</f>
        <v>0</v>
      </c>
      <c r="AD279" s="150">
        <f>IF(NFI_Expiration=1,IF($A279&lt;VLOOKUP(S$5,NFI,5,0),1,0)*Data_NFI_t[[#This Row],[Plastic Mat]],0)*IF(Data_NFI_t[[#This Row],[Distribution Date]]&gt;"01-04-2014",1,2.5)</f>
        <v>0</v>
      </c>
      <c r="AE279" s="150" t="str">
        <f ca="1">IFERROR(OFFSET(Camp_List[P_Code],MATCH(Data_NFI_t[[#This Row],[Camp Name]],Camp_List[Camp Name],0)-1,0,1,1),"")</f>
        <v>MMR012CMP002</v>
      </c>
      <c r="AF279" s="714" t="str">
        <f ca="1">IFERROR(OFFSET(Camp_List[Status],MATCH(Data_NFI_t[[#This Row],[Camp Name]],Camp_List[Camp Name],0)-1,0,1,1),"")</f>
        <v>Open</v>
      </c>
    </row>
    <row r="280" spans="1:32" s="102" customFormat="1" ht="15" customHeight="1" x14ac:dyDescent="0.25">
      <c r="A280" s="265">
        <f t="shared" si="4"/>
        <v>36.1</v>
      </c>
      <c r="B280" s="265">
        <f>YEAR(Data_NFI_t[[#This Row],[Distribution Date]])</f>
        <v>2012</v>
      </c>
      <c r="C280" s="738">
        <v>41256</v>
      </c>
      <c r="D280" s="655" t="s">
        <v>288</v>
      </c>
      <c r="E280" s="654"/>
      <c r="F280" s="655" t="s">
        <v>7</v>
      </c>
      <c r="G280" s="31" t="s">
        <v>19</v>
      </c>
      <c r="H280" s="31" t="s">
        <v>68</v>
      </c>
      <c r="I280" s="31"/>
      <c r="J280" s="61"/>
      <c r="K280" s="61">
        <v>2813</v>
      </c>
      <c r="L280" s="61"/>
      <c r="M280" s="61"/>
      <c r="N280" s="61"/>
      <c r="O280" s="61"/>
      <c r="P280" s="61"/>
      <c r="Q280" s="61"/>
      <c r="R280" s="708"/>
      <c r="S280" s="61"/>
      <c r="T280" s="150">
        <f>IF(NFI_Expiration=1,IF($A280&lt;VLOOKUP(I$5,NFI,5,0),1,0)*Data_NFI_t[[#This Row],[Hygiene Kit]],0)</f>
        <v>0</v>
      </c>
      <c r="U280" s="150">
        <f>IF(NFI_Expiration=1,IF($A280&lt;VLOOKUP(J$5,NFI,5,0),1,0)*Data_NFI_t[[#This Row],[NFI Core Kit]],0)</f>
        <v>0</v>
      </c>
      <c r="V280" s="131">
        <f>IF(NFI_Expiration=1,IF($A280&lt;VLOOKUP(K$5,NFI,5,0),1,0)*Data_NFI_t[[#This Row],[Sanitary Kit]],0)</f>
        <v>0</v>
      </c>
      <c r="W280" s="131">
        <f>IF(NFI_Expiration=1,IF($A280&lt;VLOOKUP(L$5,NFI,5,0),1,0)*Data_NFI_t[[#This Row],[Mosquito net]],0)</f>
        <v>0</v>
      </c>
      <c r="X280" s="131">
        <f>IF(NFI_Expiration=1,IF($A280&lt;VLOOKUP(M$5,NFI,5,0),1,0)*Data_NFI_t[[#This Row],[Tarpaulin]],0)</f>
        <v>0</v>
      </c>
      <c r="Y280" s="131">
        <f>IF(NFI_Expiration=1,IF($A280&lt;VLOOKUP(N$5,NFI,5,0),1,0)*Data_NFI_t[[#This Row],[Blanket]],0)</f>
        <v>0</v>
      </c>
      <c r="Z280" s="131">
        <f>IF(NFI_Expiration=1,IF($A280&lt;VLOOKUP(O$5,NFI,5,0),1,0)*Data_NFI_t[[#This Row],[Kitchen Set]],0)</f>
        <v>0</v>
      </c>
      <c r="AA280" s="131">
        <f>IF(NFI_Expiration=1,IF($A280&lt;VLOOKUP(P$5,NFI,5,0),1,0)*Data_NFI_t[[#This Row],[Complementary Kit]],0)</f>
        <v>0</v>
      </c>
      <c r="AB280" s="131">
        <f>IF(NFI_Expiration=1,IF($A280&lt;VLOOKUP(Q$5,NFI,5,0),1,0)*Data_NFI_t[[#This Row],[Plastic Bucket]],0)</f>
        <v>0</v>
      </c>
      <c r="AC280" s="131">
        <f>IF(NFI_Expiration=1,IF($A280&lt;VLOOKUP(R$5,NFI,5,0),1,0)*Data_NFI_t[[#This Row],[Jerry Can]],0)</f>
        <v>0</v>
      </c>
      <c r="AD280" s="150">
        <f>IF(NFI_Expiration=1,IF($A280&lt;VLOOKUP(S$5,NFI,5,0),1,0)*Data_NFI_t[[#This Row],[Plastic Mat]],0)*IF(Data_NFI_t[[#This Row],[Distribution Date]]&gt;"01-04-2014",1,2.5)</f>
        <v>0</v>
      </c>
      <c r="AE280" s="150" t="str">
        <f ca="1">IFERROR(OFFSET(Camp_List[P_Code],MATCH(Data_NFI_t[[#This Row],[Camp Name]],Camp_List[Camp Name],0)-1,0,1,1),"")</f>
        <v>MMR012CMP046</v>
      </c>
      <c r="AF280" s="714" t="str">
        <f ca="1">IFERROR(OFFSET(Camp_List[Status],MATCH(Data_NFI_t[[#This Row],[Camp Name]],Camp_List[Camp Name],0)-1,0,1,1),"")</f>
        <v>Open</v>
      </c>
    </row>
    <row r="281" spans="1:32" s="102" customFormat="1" ht="15" customHeight="1" x14ac:dyDescent="0.25">
      <c r="A281" s="265">
        <f t="shared" si="4"/>
        <v>36.1</v>
      </c>
      <c r="B281" s="265">
        <f>YEAR(Data_NFI_t[[#This Row],[Distribution Date]])</f>
        <v>2012</v>
      </c>
      <c r="C281" s="738">
        <v>41256</v>
      </c>
      <c r="D281" s="655" t="s">
        <v>288</v>
      </c>
      <c r="E281" s="654"/>
      <c r="F281" s="655" t="s">
        <v>7</v>
      </c>
      <c r="G281" s="31" t="s">
        <v>19</v>
      </c>
      <c r="H281" s="31" t="s">
        <v>70</v>
      </c>
      <c r="I281" s="31"/>
      <c r="J281" s="61"/>
      <c r="K281" s="61">
        <v>1900</v>
      </c>
      <c r="L281" s="61"/>
      <c r="M281" s="61"/>
      <c r="N281" s="61"/>
      <c r="O281" s="61"/>
      <c r="P281" s="61"/>
      <c r="Q281" s="61"/>
      <c r="R281" s="708"/>
      <c r="S281" s="61"/>
      <c r="T281" s="150">
        <f>IF(NFI_Expiration=1,IF($A281&lt;VLOOKUP(I$5,NFI,5,0),1,0)*Data_NFI_t[[#This Row],[Hygiene Kit]],0)</f>
        <v>0</v>
      </c>
      <c r="U281" s="150">
        <f>IF(NFI_Expiration=1,IF($A281&lt;VLOOKUP(J$5,NFI,5,0),1,0)*Data_NFI_t[[#This Row],[NFI Core Kit]],0)</f>
        <v>0</v>
      </c>
      <c r="V281" s="131">
        <f>IF(NFI_Expiration=1,IF($A281&lt;VLOOKUP(K$5,NFI,5,0),1,0)*Data_NFI_t[[#This Row],[Sanitary Kit]],0)</f>
        <v>0</v>
      </c>
      <c r="W281" s="131">
        <f>IF(NFI_Expiration=1,IF($A281&lt;VLOOKUP(L$5,NFI,5,0),1,0)*Data_NFI_t[[#This Row],[Mosquito net]],0)</f>
        <v>0</v>
      </c>
      <c r="X281" s="131">
        <f>IF(NFI_Expiration=1,IF($A281&lt;VLOOKUP(M$5,NFI,5,0),1,0)*Data_NFI_t[[#This Row],[Tarpaulin]],0)</f>
        <v>0</v>
      </c>
      <c r="Y281" s="131">
        <f>IF(NFI_Expiration=1,IF($A281&lt;VLOOKUP(N$5,NFI,5,0),1,0)*Data_NFI_t[[#This Row],[Blanket]],0)</f>
        <v>0</v>
      </c>
      <c r="Z281" s="131">
        <f>IF(NFI_Expiration=1,IF($A281&lt;VLOOKUP(O$5,NFI,5,0),1,0)*Data_NFI_t[[#This Row],[Kitchen Set]],0)</f>
        <v>0</v>
      </c>
      <c r="AA281" s="131">
        <f>IF(NFI_Expiration=1,IF($A281&lt;VLOOKUP(P$5,NFI,5,0),1,0)*Data_NFI_t[[#This Row],[Complementary Kit]],0)</f>
        <v>0</v>
      </c>
      <c r="AB281" s="131">
        <f>IF(NFI_Expiration=1,IF($A281&lt;VLOOKUP(Q$5,NFI,5,0),1,0)*Data_NFI_t[[#This Row],[Plastic Bucket]],0)</f>
        <v>0</v>
      </c>
      <c r="AC281" s="131">
        <f>IF(NFI_Expiration=1,IF($A281&lt;VLOOKUP(R$5,NFI,5,0),1,0)*Data_NFI_t[[#This Row],[Jerry Can]],0)</f>
        <v>0</v>
      </c>
      <c r="AD281" s="150">
        <f>IF(NFI_Expiration=1,IF($A281&lt;VLOOKUP(S$5,NFI,5,0),1,0)*Data_NFI_t[[#This Row],[Plastic Mat]],0)*IF(Data_NFI_t[[#This Row],[Distribution Date]]&gt;"01-04-2014",1,2.5)</f>
        <v>0</v>
      </c>
      <c r="AE281" s="150" t="str">
        <f ca="1">IFERROR(OFFSET(Camp_List[P_Code],MATCH(Data_NFI_t[[#This Row],[Camp Name]],Camp_List[Camp Name],0)-1,0,1,1),"")</f>
        <v>MMR012CMP048</v>
      </c>
      <c r="AF281" s="714" t="str">
        <f ca="1">IFERROR(OFFSET(Camp_List[Status],MATCH(Data_NFI_t[[#This Row],[Camp Name]],Camp_List[Camp Name],0)-1,0,1,1),"")</f>
        <v>Open</v>
      </c>
    </row>
    <row r="282" spans="1:32" s="102" customFormat="1" ht="15" customHeight="1" x14ac:dyDescent="0.25">
      <c r="A282" s="265">
        <f t="shared" si="4"/>
        <v>36.1</v>
      </c>
      <c r="B282" s="265">
        <f>YEAR(Data_NFI_t[[#This Row],[Distribution Date]])</f>
        <v>2012</v>
      </c>
      <c r="C282" s="738">
        <v>41256</v>
      </c>
      <c r="D282" s="655" t="s">
        <v>288</v>
      </c>
      <c r="E282" s="654"/>
      <c r="F282" s="655" t="s">
        <v>7</v>
      </c>
      <c r="G282" s="31" t="s">
        <v>15</v>
      </c>
      <c r="H282" s="31" t="s">
        <v>52</v>
      </c>
      <c r="I282" s="31"/>
      <c r="J282" s="61"/>
      <c r="K282" s="61"/>
      <c r="L282" s="61">
        <v>214</v>
      </c>
      <c r="M282" s="61"/>
      <c r="N282" s="61">
        <v>214</v>
      </c>
      <c r="O282" s="61">
        <v>107</v>
      </c>
      <c r="P282" s="61">
        <v>107</v>
      </c>
      <c r="Q282" s="61"/>
      <c r="R282" s="708"/>
      <c r="S282" s="61"/>
      <c r="T282" s="150">
        <f>IF(NFI_Expiration=1,IF($A282&lt;VLOOKUP(I$5,NFI,5,0),1,0)*Data_NFI_t[[#This Row],[Hygiene Kit]],0)</f>
        <v>0</v>
      </c>
      <c r="U282" s="150">
        <f>IF(NFI_Expiration=1,IF($A282&lt;VLOOKUP(J$5,NFI,5,0),1,0)*Data_NFI_t[[#This Row],[NFI Core Kit]],0)</f>
        <v>0</v>
      </c>
      <c r="V282" s="131">
        <f>IF(NFI_Expiration=1,IF($A282&lt;VLOOKUP(K$5,NFI,5,0),1,0)*Data_NFI_t[[#This Row],[Sanitary Kit]],0)</f>
        <v>0</v>
      </c>
      <c r="W282" s="131">
        <f>IF(NFI_Expiration=1,IF($A282&lt;VLOOKUP(L$5,NFI,5,0),1,0)*Data_NFI_t[[#This Row],[Mosquito net]],0)</f>
        <v>0</v>
      </c>
      <c r="X282" s="131">
        <f>IF(NFI_Expiration=1,IF($A282&lt;VLOOKUP(M$5,NFI,5,0),1,0)*Data_NFI_t[[#This Row],[Tarpaulin]],0)</f>
        <v>0</v>
      </c>
      <c r="Y282" s="131">
        <f>IF(NFI_Expiration=1,IF($A282&lt;VLOOKUP(N$5,NFI,5,0),1,0)*Data_NFI_t[[#This Row],[Blanket]],0)</f>
        <v>0</v>
      </c>
      <c r="Z282" s="131">
        <f>IF(NFI_Expiration=1,IF($A282&lt;VLOOKUP(O$5,NFI,5,0),1,0)*Data_NFI_t[[#This Row],[Kitchen Set]],0)</f>
        <v>0</v>
      </c>
      <c r="AA282" s="131">
        <f>IF(NFI_Expiration=1,IF($A282&lt;VLOOKUP(P$5,NFI,5,0),1,0)*Data_NFI_t[[#This Row],[Complementary Kit]],0)</f>
        <v>0</v>
      </c>
      <c r="AB282" s="131">
        <f>IF(NFI_Expiration=1,IF($A282&lt;VLOOKUP(Q$5,NFI,5,0),1,0)*Data_NFI_t[[#This Row],[Plastic Bucket]],0)</f>
        <v>0</v>
      </c>
      <c r="AC282" s="131">
        <f>IF(NFI_Expiration=1,IF($A282&lt;VLOOKUP(R$5,NFI,5,0),1,0)*Data_NFI_t[[#This Row],[Jerry Can]],0)</f>
        <v>0</v>
      </c>
      <c r="AD282" s="150">
        <f>IF(NFI_Expiration=1,IF($A282&lt;VLOOKUP(S$5,NFI,5,0),1,0)*Data_NFI_t[[#This Row],[Plastic Mat]],0)*IF(Data_NFI_t[[#This Row],[Distribution Date]]&gt;"01-04-2014",1,2.5)</f>
        <v>0</v>
      </c>
      <c r="AE282" s="150" t="str">
        <f ca="1">IFERROR(OFFSET(Camp_List[P_Code],MATCH(Data_NFI_t[[#This Row],[Camp Name]],Camp_List[Camp Name],0)-1,0,1,1),"")</f>
        <v>MMR012CMP028</v>
      </c>
      <c r="AF282" s="714" t="str">
        <f ca="1">IFERROR(OFFSET(Camp_List[Status],MATCH(Data_NFI_t[[#This Row],[Camp Name]],Camp_List[Camp Name],0)-1,0,1,1),"")</f>
        <v>Open</v>
      </c>
    </row>
    <row r="283" spans="1:32" s="102" customFormat="1" ht="15" customHeight="1" x14ac:dyDescent="0.25">
      <c r="A283" s="265">
        <f t="shared" si="4"/>
        <v>36.133333333333333</v>
      </c>
      <c r="B283" s="265">
        <f>YEAR(Data_NFI_t[[#This Row],[Distribution Date]])</f>
        <v>2012</v>
      </c>
      <c r="C283" s="738">
        <v>41255</v>
      </c>
      <c r="D283" s="655" t="s">
        <v>292</v>
      </c>
      <c r="E283" s="654" t="s">
        <v>288</v>
      </c>
      <c r="F283" s="655" t="s">
        <v>7</v>
      </c>
      <c r="G283" s="31" t="s">
        <v>19</v>
      </c>
      <c r="H283" s="31" t="s">
        <v>71</v>
      </c>
      <c r="I283" s="31"/>
      <c r="J283" s="61"/>
      <c r="K283" s="61"/>
      <c r="L283" s="61"/>
      <c r="M283" s="61"/>
      <c r="N283" s="61">
        <v>50</v>
      </c>
      <c r="O283" s="61"/>
      <c r="P283" s="61"/>
      <c r="Q283" s="61"/>
      <c r="R283" s="708"/>
      <c r="S283" s="61"/>
      <c r="T283" s="150">
        <f>IF(NFI_Expiration=1,IF($A283&lt;VLOOKUP(I$5,NFI,5,0),1,0)*Data_NFI_t[[#This Row],[Hygiene Kit]],0)</f>
        <v>0</v>
      </c>
      <c r="U283" s="150">
        <f>IF(NFI_Expiration=1,IF($A283&lt;VLOOKUP(J$5,NFI,5,0),1,0)*Data_NFI_t[[#This Row],[NFI Core Kit]],0)</f>
        <v>0</v>
      </c>
      <c r="V283" s="131">
        <f>IF(NFI_Expiration=1,IF($A283&lt;VLOOKUP(K$5,NFI,5,0),1,0)*Data_NFI_t[[#This Row],[Sanitary Kit]],0)</f>
        <v>0</v>
      </c>
      <c r="W283" s="131">
        <f>IF(NFI_Expiration=1,IF($A283&lt;VLOOKUP(L$5,NFI,5,0),1,0)*Data_NFI_t[[#This Row],[Mosquito net]],0)</f>
        <v>0</v>
      </c>
      <c r="X283" s="131">
        <f>IF(NFI_Expiration=1,IF($A283&lt;VLOOKUP(M$5,NFI,5,0),1,0)*Data_NFI_t[[#This Row],[Tarpaulin]],0)</f>
        <v>0</v>
      </c>
      <c r="Y283" s="131">
        <f>IF(NFI_Expiration=1,IF($A283&lt;VLOOKUP(N$5,NFI,5,0),1,0)*Data_NFI_t[[#This Row],[Blanket]],0)</f>
        <v>0</v>
      </c>
      <c r="Z283" s="131">
        <f>IF(NFI_Expiration=1,IF($A283&lt;VLOOKUP(O$5,NFI,5,0),1,0)*Data_NFI_t[[#This Row],[Kitchen Set]],0)</f>
        <v>0</v>
      </c>
      <c r="AA283" s="131">
        <f>IF(NFI_Expiration=1,IF($A283&lt;VLOOKUP(P$5,NFI,5,0),1,0)*Data_NFI_t[[#This Row],[Complementary Kit]],0)</f>
        <v>0</v>
      </c>
      <c r="AB283" s="131">
        <f>IF(NFI_Expiration=1,IF($A283&lt;VLOOKUP(Q$5,NFI,5,0),1,0)*Data_NFI_t[[#This Row],[Plastic Bucket]],0)</f>
        <v>0</v>
      </c>
      <c r="AC283" s="131">
        <f>IF(NFI_Expiration=1,IF($A283&lt;VLOOKUP(R$5,NFI,5,0),1,0)*Data_NFI_t[[#This Row],[Jerry Can]],0)</f>
        <v>0</v>
      </c>
      <c r="AD283" s="150">
        <f>IF(NFI_Expiration=1,IF($A283&lt;VLOOKUP(S$5,NFI,5,0),1,0)*Data_NFI_t[[#This Row],[Plastic Mat]],0)*IF(Data_NFI_t[[#This Row],[Distribution Date]]&gt;"01-04-2014",1,2.5)</f>
        <v>0</v>
      </c>
      <c r="AE283" s="150" t="str">
        <f ca="1">IFERROR(OFFSET(Camp_List[P_Code],MATCH(Data_NFI_t[[#This Row],[Camp Name]],Camp_List[Camp Name],0)-1,0,1,1),"")</f>
        <v>MMR012CMP049</v>
      </c>
      <c r="AF283" s="714" t="str">
        <f ca="1">IFERROR(OFFSET(Camp_List[Status],MATCH(Data_NFI_t[[#This Row],[Camp Name]],Camp_List[Camp Name],0)-1,0,1,1),"")</f>
        <v>Close</v>
      </c>
    </row>
    <row r="284" spans="1:32" s="102" customFormat="1" ht="15" customHeight="1" x14ac:dyDescent="0.25">
      <c r="A284" s="265">
        <f t="shared" si="4"/>
        <v>36.133333333333333</v>
      </c>
      <c r="B284" s="265">
        <f>YEAR(Data_NFI_t[[#This Row],[Distribution Date]])</f>
        <v>2012</v>
      </c>
      <c r="C284" s="738">
        <v>41255</v>
      </c>
      <c r="D284" s="655" t="s">
        <v>288</v>
      </c>
      <c r="E284" s="654"/>
      <c r="F284" s="655" t="s">
        <v>7</v>
      </c>
      <c r="G284" s="31" t="s">
        <v>19</v>
      </c>
      <c r="H284" s="31" t="s">
        <v>75</v>
      </c>
      <c r="I284" s="31"/>
      <c r="J284" s="61"/>
      <c r="K284" s="61">
        <v>85</v>
      </c>
      <c r="L284" s="61"/>
      <c r="M284" s="61"/>
      <c r="N284" s="61"/>
      <c r="O284" s="61"/>
      <c r="P284" s="61"/>
      <c r="Q284" s="61"/>
      <c r="R284" s="708"/>
      <c r="S284" s="61"/>
      <c r="T284" s="150">
        <f>IF(NFI_Expiration=1,IF($A284&lt;VLOOKUP(I$5,NFI,5,0),1,0)*Data_NFI_t[[#This Row],[Hygiene Kit]],0)</f>
        <v>0</v>
      </c>
      <c r="U284" s="150">
        <f>IF(NFI_Expiration=1,IF($A284&lt;VLOOKUP(J$5,NFI,5,0),1,0)*Data_NFI_t[[#This Row],[NFI Core Kit]],0)</f>
        <v>0</v>
      </c>
      <c r="V284" s="131">
        <f>IF(NFI_Expiration=1,IF($A284&lt;VLOOKUP(K$5,NFI,5,0),1,0)*Data_NFI_t[[#This Row],[Sanitary Kit]],0)</f>
        <v>0</v>
      </c>
      <c r="W284" s="131">
        <f>IF(NFI_Expiration=1,IF($A284&lt;VLOOKUP(L$5,NFI,5,0),1,0)*Data_NFI_t[[#This Row],[Mosquito net]],0)</f>
        <v>0</v>
      </c>
      <c r="X284" s="131">
        <f>IF(NFI_Expiration=1,IF($A284&lt;VLOOKUP(M$5,NFI,5,0),1,0)*Data_NFI_t[[#This Row],[Tarpaulin]],0)</f>
        <v>0</v>
      </c>
      <c r="Y284" s="131">
        <f>IF(NFI_Expiration=1,IF($A284&lt;VLOOKUP(N$5,NFI,5,0),1,0)*Data_NFI_t[[#This Row],[Blanket]],0)</f>
        <v>0</v>
      </c>
      <c r="Z284" s="131">
        <f>IF(NFI_Expiration=1,IF($A284&lt;VLOOKUP(O$5,NFI,5,0),1,0)*Data_NFI_t[[#This Row],[Kitchen Set]],0)</f>
        <v>0</v>
      </c>
      <c r="AA284" s="131">
        <f>IF(NFI_Expiration=1,IF($A284&lt;VLOOKUP(P$5,NFI,5,0),1,0)*Data_NFI_t[[#This Row],[Complementary Kit]],0)</f>
        <v>0</v>
      </c>
      <c r="AB284" s="131">
        <f>IF(NFI_Expiration=1,IF($A284&lt;VLOOKUP(Q$5,NFI,5,0),1,0)*Data_NFI_t[[#This Row],[Plastic Bucket]],0)</f>
        <v>0</v>
      </c>
      <c r="AC284" s="131">
        <f>IF(NFI_Expiration=1,IF($A284&lt;VLOOKUP(R$5,NFI,5,0),1,0)*Data_NFI_t[[#This Row],[Jerry Can]],0)</f>
        <v>0</v>
      </c>
      <c r="AD284" s="150">
        <f>IF(NFI_Expiration=1,IF($A284&lt;VLOOKUP(S$5,NFI,5,0),1,0)*Data_NFI_t[[#This Row],[Plastic Mat]],0)*IF(Data_NFI_t[[#This Row],[Distribution Date]]&gt;"01-04-2014",1,2.5)</f>
        <v>0</v>
      </c>
      <c r="AE284" s="150" t="str">
        <f ca="1">IFERROR(OFFSET(Camp_List[P_Code],MATCH(Data_NFI_t[[#This Row],[Camp Name]],Camp_List[Camp Name],0)-1,0,1,1),"")</f>
        <v>MMR012CMP053</v>
      </c>
      <c r="AF284" s="714" t="str">
        <f ca="1">IFERROR(OFFSET(Camp_List[Status],MATCH(Data_NFI_t[[#This Row],[Camp Name]],Camp_List[Camp Name],0)-1,0,1,1),"")</f>
        <v>Close</v>
      </c>
    </row>
    <row r="285" spans="1:32" s="102" customFormat="1" ht="15" customHeight="1" x14ac:dyDescent="0.25">
      <c r="A285" s="265">
        <f t="shared" si="4"/>
        <v>36.133333333333333</v>
      </c>
      <c r="B285" s="265">
        <f>YEAR(Data_NFI_t[[#This Row],[Distribution Date]])</f>
        <v>2012</v>
      </c>
      <c r="C285" s="738">
        <v>41255</v>
      </c>
      <c r="D285" s="655" t="s">
        <v>288</v>
      </c>
      <c r="E285" s="654"/>
      <c r="F285" s="655" t="s">
        <v>7</v>
      </c>
      <c r="G285" s="31" t="s">
        <v>19</v>
      </c>
      <c r="H285" s="31" t="s">
        <v>76</v>
      </c>
      <c r="I285" s="31"/>
      <c r="J285" s="61"/>
      <c r="K285" s="61">
        <v>53</v>
      </c>
      <c r="L285" s="61"/>
      <c r="M285" s="61"/>
      <c r="N285" s="61"/>
      <c r="O285" s="61"/>
      <c r="P285" s="61"/>
      <c r="Q285" s="61"/>
      <c r="R285" s="708"/>
      <c r="S285" s="61"/>
      <c r="T285" s="150">
        <f>IF(NFI_Expiration=1,IF($A285&lt;VLOOKUP(I$5,NFI,5,0),1,0)*Data_NFI_t[[#This Row],[Hygiene Kit]],0)</f>
        <v>0</v>
      </c>
      <c r="U285" s="150">
        <f>IF(NFI_Expiration=1,IF($A285&lt;VLOOKUP(J$5,NFI,5,0),1,0)*Data_NFI_t[[#This Row],[NFI Core Kit]],0)</f>
        <v>0</v>
      </c>
      <c r="V285" s="131">
        <f>IF(NFI_Expiration=1,IF($A285&lt;VLOOKUP(K$5,NFI,5,0),1,0)*Data_NFI_t[[#This Row],[Sanitary Kit]],0)</f>
        <v>0</v>
      </c>
      <c r="W285" s="131">
        <f>IF(NFI_Expiration=1,IF($A285&lt;VLOOKUP(L$5,NFI,5,0),1,0)*Data_NFI_t[[#This Row],[Mosquito net]],0)</f>
        <v>0</v>
      </c>
      <c r="X285" s="131">
        <f>IF(NFI_Expiration=1,IF($A285&lt;VLOOKUP(M$5,NFI,5,0),1,0)*Data_NFI_t[[#This Row],[Tarpaulin]],0)</f>
        <v>0</v>
      </c>
      <c r="Y285" s="131">
        <f>IF(NFI_Expiration=1,IF($A285&lt;VLOOKUP(N$5,NFI,5,0),1,0)*Data_NFI_t[[#This Row],[Blanket]],0)</f>
        <v>0</v>
      </c>
      <c r="Z285" s="131">
        <f>IF(NFI_Expiration=1,IF($A285&lt;VLOOKUP(O$5,NFI,5,0),1,0)*Data_NFI_t[[#This Row],[Kitchen Set]],0)</f>
        <v>0</v>
      </c>
      <c r="AA285" s="131">
        <f>IF(NFI_Expiration=1,IF($A285&lt;VLOOKUP(P$5,NFI,5,0),1,0)*Data_NFI_t[[#This Row],[Complementary Kit]],0)</f>
        <v>0</v>
      </c>
      <c r="AB285" s="131">
        <f>IF(NFI_Expiration=1,IF($A285&lt;VLOOKUP(Q$5,NFI,5,0),1,0)*Data_NFI_t[[#This Row],[Plastic Bucket]],0)</f>
        <v>0</v>
      </c>
      <c r="AC285" s="131">
        <f>IF(NFI_Expiration=1,IF($A285&lt;VLOOKUP(R$5,NFI,5,0),1,0)*Data_NFI_t[[#This Row],[Jerry Can]],0)</f>
        <v>0</v>
      </c>
      <c r="AD285" s="150">
        <f>IF(NFI_Expiration=1,IF($A285&lt;VLOOKUP(S$5,NFI,5,0),1,0)*Data_NFI_t[[#This Row],[Plastic Mat]],0)*IF(Data_NFI_t[[#This Row],[Distribution Date]]&gt;"01-04-2014",1,2.5)</f>
        <v>0</v>
      </c>
      <c r="AE285" s="150" t="str">
        <f ca="1">IFERROR(OFFSET(Camp_List[P_Code],MATCH(Data_NFI_t[[#This Row],[Camp Name]],Camp_List[Camp Name],0)-1,0,1,1),"")</f>
        <v>MMR012CMP054</v>
      </c>
      <c r="AF285" s="714" t="str">
        <f ca="1">IFERROR(OFFSET(Camp_List[Status],MATCH(Data_NFI_t[[#This Row],[Camp Name]],Camp_List[Camp Name],0)-1,0,1,1),"")</f>
        <v>Close</v>
      </c>
    </row>
    <row r="286" spans="1:32" s="102" customFormat="1" ht="15" customHeight="1" x14ac:dyDescent="0.25">
      <c r="A286" s="265">
        <f t="shared" si="4"/>
        <v>36.133333333333333</v>
      </c>
      <c r="B286" s="265">
        <f>YEAR(Data_NFI_t[[#This Row],[Distribution Date]])</f>
        <v>2012</v>
      </c>
      <c r="C286" s="738">
        <v>41255</v>
      </c>
      <c r="D286" s="655" t="s">
        <v>288</v>
      </c>
      <c r="E286" s="654"/>
      <c r="F286" s="655" t="s">
        <v>7</v>
      </c>
      <c r="G286" s="31" t="s">
        <v>19</v>
      </c>
      <c r="H286" s="31" t="s">
        <v>78</v>
      </c>
      <c r="I286" s="31"/>
      <c r="J286" s="61"/>
      <c r="K286" s="61">
        <v>195</v>
      </c>
      <c r="L286" s="61"/>
      <c r="M286" s="61"/>
      <c r="N286" s="61"/>
      <c r="O286" s="61"/>
      <c r="P286" s="61"/>
      <c r="Q286" s="61"/>
      <c r="R286" s="708"/>
      <c r="S286" s="61"/>
      <c r="T286" s="150">
        <f>IF(NFI_Expiration=1,IF($A286&lt;VLOOKUP(I$5,NFI,5,0),1,0)*Data_NFI_t[[#This Row],[Hygiene Kit]],0)</f>
        <v>0</v>
      </c>
      <c r="U286" s="150">
        <f>IF(NFI_Expiration=1,IF($A286&lt;VLOOKUP(J$5,NFI,5,0),1,0)*Data_NFI_t[[#This Row],[NFI Core Kit]],0)</f>
        <v>0</v>
      </c>
      <c r="V286" s="131">
        <f>IF(NFI_Expiration=1,IF($A286&lt;VLOOKUP(K$5,NFI,5,0),1,0)*Data_NFI_t[[#This Row],[Sanitary Kit]],0)</f>
        <v>0</v>
      </c>
      <c r="W286" s="131">
        <f>IF(NFI_Expiration=1,IF($A286&lt;VLOOKUP(L$5,NFI,5,0),1,0)*Data_NFI_t[[#This Row],[Mosquito net]],0)</f>
        <v>0</v>
      </c>
      <c r="X286" s="131">
        <f>IF(NFI_Expiration=1,IF($A286&lt;VLOOKUP(M$5,NFI,5,0),1,0)*Data_NFI_t[[#This Row],[Tarpaulin]],0)</f>
        <v>0</v>
      </c>
      <c r="Y286" s="131">
        <f>IF(NFI_Expiration=1,IF($A286&lt;VLOOKUP(N$5,NFI,5,0),1,0)*Data_NFI_t[[#This Row],[Blanket]],0)</f>
        <v>0</v>
      </c>
      <c r="Z286" s="131">
        <f>IF(NFI_Expiration=1,IF($A286&lt;VLOOKUP(O$5,NFI,5,0),1,0)*Data_NFI_t[[#This Row],[Kitchen Set]],0)</f>
        <v>0</v>
      </c>
      <c r="AA286" s="131">
        <f>IF(NFI_Expiration=1,IF($A286&lt;VLOOKUP(P$5,NFI,5,0),1,0)*Data_NFI_t[[#This Row],[Complementary Kit]],0)</f>
        <v>0</v>
      </c>
      <c r="AB286" s="131">
        <f>IF(NFI_Expiration=1,IF($A286&lt;VLOOKUP(Q$5,NFI,5,0),1,0)*Data_NFI_t[[#This Row],[Plastic Bucket]],0)</f>
        <v>0</v>
      </c>
      <c r="AC286" s="131">
        <f>IF(NFI_Expiration=1,IF($A286&lt;VLOOKUP(R$5,NFI,5,0),1,0)*Data_NFI_t[[#This Row],[Jerry Can]],0)</f>
        <v>0</v>
      </c>
      <c r="AD286" s="150">
        <f>IF(NFI_Expiration=1,IF($A286&lt;VLOOKUP(S$5,NFI,5,0),1,0)*Data_NFI_t[[#This Row],[Plastic Mat]],0)*IF(Data_NFI_t[[#This Row],[Distribution Date]]&gt;"01-04-2014",1,2.5)</f>
        <v>0</v>
      </c>
      <c r="AE286" s="150" t="str">
        <f ca="1">IFERROR(OFFSET(Camp_List[P_Code],MATCH(Data_NFI_t[[#This Row],[Camp Name]],Camp_List[Camp Name],0)-1,0,1,1),"")</f>
        <v>MMR012CMP056</v>
      </c>
      <c r="AF286" s="714" t="str">
        <f ca="1">IFERROR(OFFSET(Camp_List[Status],MATCH(Data_NFI_t[[#This Row],[Camp Name]],Camp_List[Camp Name],0)-1,0,1,1),"")</f>
        <v>Open</v>
      </c>
    </row>
    <row r="287" spans="1:32" s="102" customFormat="1" ht="15" customHeight="1" x14ac:dyDescent="0.25">
      <c r="A287" s="265">
        <f t="shared" si="4"/>
        <v>36.200000000000003</v>
      </c>
      <c r="B287" s="265">
        <f>YEAR(Data_NFI_t[[#This Row],[Distribution Date]])</f>
        <v>2012</v>
      </c>
      <c r="C287" s="738">
        <v>41253</v>
      </c>
      <c r="D287" s="655" t="s">
        <v>288</v>
      </c>
      <c r="E287" s="654"/>
      <c r="F287" s="655" t="s">
        <v>7</v>
      </c>
      <c r="G287" s="31" t="s">
        <v>17</v>
      </c>
      <c r="H287" s="31" t="s">
        <v>484</v>
      </c>
      <c r="I287" s="31"/>
      <c r="J287" s="61"/>
      <c r="K287" s="61"/>
      <c r="L287" s="61">
        <v>170</v>
      </c>
      <c r="M287" s="61">
        <v>85</v>
      </c>
      <c r="N287" s="61">
        <v>170</v>
      </c>
      <c r="O287" s="61">
        <v>85</v>
      </c>
      <c r="P287" s="61"/>
      <c r="Q287" s="61"/>
      <c r="R287" s="708"/>
      <c r="S287" s="61"/>
      <c r="T287" s="150">
        <f>IF(NFI_Expiration=1,IF($A287&lt;VLOOKUP(I$5,NFI,5,0),1,0)*Data_NFI_t[[#This Row],[Hygiene Kit]],0)</f>
        <v>0</v>
      </c>
      <c r="U287" s="150">
        <f>IF(NFI_Expiration=1,IF($A287&lt;VLOOKUP(J$5,NFI,5,0),1,0)*Data_NFI_t[[#This Row],[NFI Core Kit]],0)</f>
        <v>0</v>
      </c>
      <c r="V287" s="131">
        <f>IF(NFI_Expiration=1,IF($A287&lt;VLOOKUP(K$5,NFI,5,0),1,0)*Data_NFI_t[[#This Row],[Sanitary Kit]],0)</f>
        <v>0</v>
      </c>
      <c r="W287" s="131">
        <f>IF(NFI_Expiration=1,IF($A287&lt;VLOOKUP(L$5,NFI,5,0),1,0)*Data_NFI_t[[#This Row],[Mosquito net]],0)</f>
        <v>0</v>
      </c>
      <c r="X287" s="131">
        <f>IF(NFI_Expiration=1,IF($A287&lt;VLOOKUP(M$5,NFI,5,0),1,0)*Data_NFI_t[[#This Row],[Tarpaulin]],0)</f>
        <v>0</v>
      </c>
      <c r="Y287" s="131">
        <f>IF(NFI_Expiration=1,IF($A287&lt;VLOOKUP(N$5,NFI,5,0),1,0)*Data_NFI_t[[#This Row],[Blanket]],0)</f>
        <v>0</v>
      </c>
      <c r="Z287" s="131">
        <f>IF(NFI_Expiration=1,IF($A287&lt;VLOOKUP(O$5,NFI,5,0),1,0)*Data_NFI_t[[#This Row],[Kitchen Set]],0)</f>
        <v>0</v>
      </c>
      <c r="AA287" s="131">
        <f>IF(NFI_Expiration=1,IF($A287&lt;VLOOKUP(P$5,NFI,5,0),1,0)*Data_NFI_t[[#This Row],[Complementary Kit]],0)</f>
        <v>0</v>
      </c>
      <c r="AB287" s="131">
        <f>IF(NFI_Expiration=1,IF($A287&lt;VLOOKUP(Q$5,NFI,5,0),1,0)*Data_NFI_t[[#This Row],[Plastic Bucket]],0)</f>
        <v>0</v>
      </c>
      <c r="AC287" s="131">
        <f>IF(NFI_Expiration=1,IF($A287&lt;VLOOKUP(R$5,NFI,5,0),1,0)*Data_NFI_t[[#This Row],[Jerry Can]],0)</f>
        <v>0</v>
      </c>
      <c r="AD287" s="150">
        <f>IF(NFI_Expiration=1,IF($A287&lt;VLOOKUP(S$5,NFI,5,0),1,0)*Data_NFI_t[[#This Row],[Plastic Mat]],0)*IF(Data_NFI_t[[#This Row],[Distribution Date]]&gt;"01-04-2014",1,2.5)</f>
        <v>0</v>
      </c>
      <c r="AE287" s="150" t="str">
        <f ca="1">IFERROR(OFFSET(Camp_List[P_Code],MATCH(Data_NFI_t[[#This Row],[Camp Name]],Camp_List[Camp Name],0)-1,0,1,1),"")</f>
        <v>MMR012CMP036</v>
      </c>
      <c r="AF287" s="714" t="str">
        <f ca="1">IFERROR(OFFSET(Camp_List[Status],MATCH(Data_NFI_t[[#This Row],[Camp Name]],Camp_List[Camp Name],0)-1,0,1,1),"")</f>
        <v>Open</v>
      </c>
    </row>
    <row r="288" spans="1:32" s="102" customFormat="1" ht="15" customHeight="1" x14ac:dyDescent="0.25">
      <c r="A288" s="265">
        <f t="shared" si="4"/>
        <v>36.200000000000003</v>
      </c>
      <c r="B288" s="265">
        <f>YEAR(Data_NFI_t[[#This Row],[Distribution Date]])</f>
        <v>2012</v>
      </c>
      <c r="C288" s="738">
        <v>41253</v>
      </c>
      <c r="D288" s="655" t="s">
        <v>288</v>
      </c>
      <c r="E288" s="654"/>
      <c r="F288" s="655" t="s">
        <v>7</v>
      </c>
      <c r="G288" s="31" t="s">
        <v>17</v>
      </c>
      <c r="H288" s="31" t="s">
        <v>58</v>
      </c>
      <c r="I288" s="31"/>
      <c r="J288" s="61"/>
      <c r="K288" s="61"/>
      <c r="L288" s="61">
        <v>826</v>
      </c>
      <c r="M288" s="61">
        <v>213</v>
      </c>
      <c r="N288" s="61">
        <v>826</v>
      </c>
      <c r="O288" s="61">
        <v>413</v>
      </c>
      <c r="P288" s="61"/>
      <c r="Q288" s="61"/>
      <c r="R288" s="708"/>
      <c r="S288" s="61"/>
      <c r="T288" s="150">
        <f>IF(NFI_Expiration=1,IF($A288&lt;VLOOKUP(I$5,NFI,5,0),1,0)*Data_NFI_t[[#This Row],[Hygiene Kit]],0)</f>
        <v>0</v>
      </c>
      <c r="U288" s="150">
        <f>IF(NFI_Expiration=1,IF($A288&lt;VLOOKUP(J$5,NFI,5,0),1,0)*Data_NFI_t[[#This Row],[NFI Core Kit]],0)</f>
        <v>0</v>
      </c>
      <c r="V288" s="131">
        <f>IF(NFI_Expiration=1,IF($A288&lt;VLOOKUP(K$5,NFI,5,0),1,0)*Data_NFI_t[[#This Row],[Sanitary Kit]],0)</f>
        <v>0</v>
      </c>
      <c r="W288" s="131">
        <f>IF(NFI_Expiration=1,IF($A288&lt;VLOOKUP(L$5,NFI,5,0),1,0)*Data_NFI_t[[#This Row],[Mosquito net]],0)</f>
        <v>0</v>
      </c>
      <c r="X288" s="131">
        <f>IF(NFI_Expiration=1,IF($A288&lt;VLOOKUP(M$5,NFI,5,0),1,0)*Data_NFI_t[[#This Row],[Tarpaulin]],0)</f>
        <v>0</v>
      </c>
      <c r="Y288" s="131">
        <f>IF(NFI_Expiration=1,IF($A288&lt;VLOOKUP(N$5,NFI,5,0),1,0)*Data_NFI_t[[#This Row],[Blanket]],0)</f>
        <v>0</v>
      </c>
      <c r="Z288" s="131">
        <f>IF(NFI_Expiration=1,IF($A288&lt;VLOOKUP(O$5,NFI,5,0),1,0)*Data_NFI_t[[#This Row],[Kitchen Set]],0)</f>
        <v>0</v>
      </c>
      <c r="AA288" s="131">
        <f>IF(NFI_Expiration=1,IF($A288&lt;VLOOKUP(P$5,NFI,5,0),1,0)*Data_NFI_t[[#This Row],[Complementary Kit]],0)</f>
        <v>0</v>
      </c>
      <c r="AB288" s="131">
        <f>IF(NFI_Expiration=1,IF($A288&lt;VLOOKUP(Q$5,NFI,5,0),1,0)*Data_NFI_t[[#This Row],[Plastic Bucket]],0)</f>
        <v>0</v>
      </c>
      <c r="AC288" s="131">
        <f>IF(NFI_Expiration=1,IF($A288&lt;VLOOKUP(R$5,NFI,5,0),1,0)*Data_NFI_t[[#This Row],[Jerry Can]],0)</f>
        <v>0</v>
      </c>
      <c r="AD288" s="150">
        <f>IF(NFI_Expiration=1,IF($A288&lt;VLOOKUP(S$5,NFI,5,0),1,0)*Data_NFI_t[[#This Row],[Plastic Mat]],0)*IF(Data_NFI_t[[#This Row],[Distribution Date]]&gt;"01-04-2014",1,2.5)</f>
        <v>0</v>
      </c>
      <c r="AE288" s="150" t="str">
        <f ca="1">IFERROR(OFFSET(Camp_List[P_Code],MATCH(Data_NFI_t[[#This Row],[Camp Name]],Camp_List[Camp Name],0)-1,0,1,1),"")</f>
        <v>MMR012CMP035</v>
      </c>
      <c r="AF288" s="714" t="str">
        <f ca="1">IFERROR(OFFSET(Camp_List[Status],MATCH(Data_NFI_t[[#This Row],[Camp Name]],Camp_List[Camp Name],0)-1,0,1,1),"")</f>
        <v>Open</v>
      </c>
    </row>
    <row r="289" spans="1:32" s="102" customFormat="1" ht="15" customHeight="1" x14ac:dyDescent="0.25">
      <c r="A289" s="265">
        <f t="shared" si="4"/>
        <v>36.366666666666667</v>
      </c>
      <c r="B289" s="265">
        <f>YEAR(Data_NFI_t[[#This Row],[Distribution Date]])</f>
        <v>2012</v>
      </c>
      <c r="C289" s="738">
        <v>41248</v>
      </c>
      <c r="D289" s="655" t="s">
        <v>292</v>
      </c>
      <c r="E289" s="654" t="s">
        <v>288</v>
      </c>
      <c r="F289" s="655" t="s">
        <v>7</v>
      </c>
      <c r="G289" s="31" t="s">
        <v>19</v>
      </c>
      <c r="H289" s="31" t="s">
        <v>71</v>
      </c>
      <c r="I289" s="31"/>
      <c r="J289" s="61"/>
      <c r="K289" s="61"/>
      <c r="L289" s="61"/>
      <c r="M289" s="61"/>
      <c r="N289" s="61">
        <v>50</v>
      </c>
      <c r="O289" s="61"/>
      <c r="P289" s="61"/>
      <c r="Q289" s="61"/>
      <c r="R289" s="708"/>
      <c r="S289" s="61"/>
      <c r="T289" s="150">
        <f>IF(NFI_Expiration=1,IF($A289&lt;VLOOKUP(I$5,NFI,5,0),1,0)*Data_NFI_t[[#This Row],[Hygiene Kit]],0)</f>
        <v>0</v>
      </c>
      <c r="U289" s="150">
        <f>IF(NFI_Expiration=1,IF($A289&lt;VLOOKUP(J$5,NFI,5,0),1,0)*Data_NFI_t[[#This Row],[NFI Core Kit]],0)</f>
        <v>0</v>
      </c>
      <c r="V289" s="131">
        <f>IF(NFI_Expiration=1,IF($A289&lt;VLOOKUP(K$5,NFI,5,0),1,0)*Data_NFI_t[[#This Row],[Sanitary Kit]],0)</f>
        <v>0</v>
      </c>
      <c r="W289" s="131">
        <f>IF(NFI_Expiration=1,IF($A289&lt;VLOOKUP(L$5,NFI,5,0),1,0)*Data_NFI_t[[#This Row],[Mosquito net]],0)</f>
        <v>0</v>
      </c>
      <c r="X289" s="131">
        <f>IF(NFI_Expiration=1,IF($A289&lt;VLOOKUP(M$5,NFI,5,0),1,0)*Data_NFI_t[[#This Row],[Tarpaulin]],0)</f>
        <v>0</v>
      </c>
      <c r="Y289" s="131">
        <f>IF(NFI_Expiration=1,IF($A289&lt;VLOOKUP(N$5,NFI,5,0),1,0)*Data_NFI_t[[#This Row],[Blanket]],0)</f>
        <v>0</v>
      </c>
      <c r="Z289" s="131">
        <f>IF(NFI_Expiration=1,IF($A289&lt;VLOOKUP(O$5,NFI,5,0),1,0)*Data_NFI_t[[#This Row],[Kitchen Set]],0)</f>
        <v>0</v>
      </c>
      <c r="AA289" s="131">
        <f>IF(NFI_Expiration=1,IF($A289&lt;VLOOKUP(P$5,NFI,5,0),1,0)*Data_NFI_t[[#This Row],[Complementary Kit]],0)</f>
        <v>0</v>
      </c>
      <c r="AB289" s="131">
        <f>IF(NFI_Expiration=1,IF($A289&lt;VLOOKUP(Q$5,NFI,5,0),1,0)*Data_NFI_t[[#This Row],[Plastic Bucket]],0)</f>
        <v>0</v>
      </c>
      <c r="AC289" s="131">
        <f>IF(NFI_Expiration=1,IF($A289&lt;VLOOKUP(R$5,NFI,5,0),1,0)*Data_NFI_t[[#This Row],[Jerry Can]],0)</f>
        <v>0</v>
      </c>
      <c r="AD289" s="150">
        <f>IF(NFI_Expiration=1,IF($A289&lt;VLOOKUP(S$5,NFI,5,0),1,0)*Data_NFI_t[[#This Row],[Plastic Mat]],0)*IF(Data_NFI_t[[#This Row],[Distribution Date]]&gt;"01-04-2014",1,2.5)</f>
        <v>0</v>
      </c>
      <c r="AE289" s="150" t="str">
        <f ca="1">IFERROR(OFFSET(Camp_List[P_Code],MATCH(Data_NFI_t[[#This Row],[Camp Name]],Camp_List[Camp Name],0)-1,0,1,1),"")</f>
        <v>MMR012CMP049</v>
      </c>
      <c r="AF289" s="714" t="str">
        <f ca="1">IFERROR(OFFSET(Camp_List[Status],MATCH(Data_NFI_t[[#This Row],[Camp Name]],Camp_List[Camp Name],0)-1,0,1,1),"")</f>
        <v>Close</v>
      </c>
    </row>
    <row r="290" spans="1:32" s="102" customFormat="1" ht="15" customHeight="1" x14ac:dyDescent="0.25">
      <c r="A290" s="265">
        <f t="shared" si="4"/>
        <v>36.43333333333333</v>
      </c>
      <c r="B290" s="265">
        <f>YEAR(Data_NFI_t[[#This Row],[Distribution Date]])</f>
        <v>2012</v>
      </c>
      <c r="C290" s="738">
        <v>41246</v>
      </c>
      <c r="D290" s="655" t="s">
        <v>292</v>
      </c>
      <c r="E290" s="654" t="s">
        <v>288</v>
      </c>
      <c r="F290" s="655" t="s">
        <v>7</v>
      </c>
      <c r="G290" s="31" t="s">
        <v>19</v>
      </c>
      <c r="H290" s="31" t="s">
        <v>70</v>
      </c>
      <c r="I290" s="31"/>
      <c r="J290" s="61"/>
      <c r="K290" s="61"/>
      <c r="L290" s="61"/>
      <c r="M290" s="61"/>
      <c r="N290" s="61">
        <v>92</v>
      </c>
      <c r="O290" s="61"/>
      <c r="P290" s="61"/>
      <c r="Q290" s="61"/>
      <c r="R290" s="708"/>
      <c r="S290" s="61"/>
      <c r="T290" s="150">
        <f>IF(NFI_Expiration=1,IF($A290&lt;VLOOKUP(I$5,NFI,5,0),1,0)*Data_NFI_t[[#This Row],[Hygiene Kit]],0)</f>
        <v>0</v>
      </c>
      <c r="U290" s="150">
        <f>IF(NFI_Expiration=1,IF($A290&lt;VLOOKUP(J$5,NFI,5,0),1,0)*Data_NFI_t[[#This Row],[NFI Core Kit]],0)</f>
        <v>0</v>
      </c>
      <c r="V290" s="131">
        <f>IF(NFI_Expiration=1,IF($A290&lt;VLOOKUP(K$5,NFI,5,0),1,0)*Data_NFI_t[[#This Row],[Sanitary Kit]],0)</f>
        <v>0</v>
      </c>
      <c r="W290" s="131">
        <f>IF(NFI_Expiration=1,IF($A290&lt;VLOOKUP(L$5,NFI,5,0),1,0)*Data_NFI_t[[#This Row],[Mosquito net]],0)</f>
        <v>0</v>
      </c>
      <c r="X290" s="131">
        <f>IF(NFI_Expiration=1,IF($A290&lt;VLOOKUP(M$5,NFI,5,0),1,0)*Data_NFI_t[[#This Row],[Tarpaulin]],0)</f>
        <v>0</v>
      </c>
      <c r="Y290" s="131">
        <f>IF(NFI_Expiration=1,IF($A290&lt;VLOOKUP(N$5,NFI,5,0),1,0)*Data_NFI_t[[#This Row],[Blanket]],0)</f>
        <v>0</v>
      </c>
      <c r="Z290" s="131">
        <f>IF(NFI_Expiration=1,IF($A290&lt;VLOOKUP(O$5,NFI,5,0),1,0)*Data_NFI_t[[#This Row],[Kitchen Set]],0)</f>
        <v>0</v>
      </c>
      <c r="AA290" s="131">
        <f>IF(NFI_Expiration=1,IF($A290&lt;VLOOKUP(P$5,NFI,5,0),1,0)*Data_NFI_t[[#This Row],[Complementary Kit]],0)</f>
        <v>0</v>
      </c>
      <c r="AB290" s="131">
        <f>IF(NFI_Expiration=1,IF($A290&lt;VLOOKUP(Q$5,NFI,5,0),1,0)*Data_NFI_t[[#This Row],[Plastic Bucket]],0)</f>
        <v>0</v>
      </c>
      <c r="AC290" s="131">
        <f>IF(NFI_Expiration=1,IF($A290&lt;VLOOKUP(R$5,NFI,5,0),1,0)*Data_NFI_t[[#This Row],[Jerry Can]],0)</f>
        <v>0</v>
      </c>
      <c r="AD290" s="150">
        <f>IF(NFI_Expiration=1,IF($A290&lt;VLOOKUP(S$5,NFI,5,0),1,0)*Data_NFI_t[[#This Row],[Plastic Mat]],0)*IF(Data_NFI_t[[#This Row],[Distribution Date]]&gt;"01-04-2014",1,2.5)</f>
        <v>0</v>
      </c>
      <c r="AE290" s="150" t="str">
        <f ca="1">IFERROR(OFFSET(Camp_List[P_Code],MATCH(Data_NFI_t[[#This Row],[Camp Name]],Camp_List[Camp Name],0)-1,0,1,1),"")</f>
        <v>MMR012CMP048</v>
      </c>
      <c r="AF290" s="714" t="str">
        <f ca="1">IFERROR(OFFSET(Camp_List[Status],MATCH(Data_NFI_t[[#This Row],[Camp Name]],Camp_List[Camp Name],0)-1,0,1,1),"")</f>
        <v>Open</v>
      </c>
    </row>
    <row r="291" spans="1:32" s="102" customFormat="1" ht="15" customHeight="1" x14ac:dyDescent="0.25">
      <c r="A291" s="265">
        <f t="shared" si="4"/>
        <v>36.533333333333331</v>
      </c>
      <c r="B291" s="265">
        <f>YEAR(Data_NFI_t[[#This Row],[Distribution Date]])</f>
        <v>2012</v>
      </c>
      <c r="C291" s="738">
        <v>41243</v>
      </c>
      <c r="D291" s="655" t="s">
        <v>288</v>
      </c>
      <c r="E291" s="654"/>
      <c r="F291" s="655" t="s">
        <v>7</v>
      </c>
      <c r="G291" s="31" t="s">
        <v>11</v>
      </c>
      <c r="H291" s="31" t="s">
        <v>30</v>
      </c>
      <c r="I291" s="31"/>
      <c r="J291" s="61"/>
      <c r="K291" s="61"/>
      <c r="L291" s="61"/>
      <c r="M291" s="61"/>
      <c r="N291" s="61">
        <v>172</v>
      </c>
      <c r="O291" s="61">
        <v>46</v>
      </c>
      <c r="P291" s="61"/>
      <c r="Q291" s="61"/>
      <c r="R291" s="708"/>
      <c r="S291" s="61"/>
      <c r="T291" s="150">
        <f>IF(NFI_Expiration=1,IF($A291&lt;VLOOKUP(I$5,NFI,5,0),1,0)*Data_NFI_t[[#This Row],[Hygiene Kit]],0)</f>
        <v>0</v>
      </c>
      <c r="U291" s="150">
        <f>IF(NFI_Expiration=1,IF($A291&lt;VLOOKUP(J$5,NFI,5,0),1,0)*Data_NFI_t[[#This Row],[NFI Core Kit]],0)</f>
        <v>0</v>
      </c>
      <c r="V291" s="131">
        <f>IF(NFI_Expiration=1,IF($A291&lt;VLOOKUP(K$5,NFI,5,0),1,0)*Data_NFI_t[[#This Row],[Sanitary Kit]],0)</f>
        <v>0</v>
      </c>
      <c r="W291" s="131">
        <f>IF(NFI_Expiration=1,IF($A291&lt;VLOOKUP(L$5,NFI,5,0),1,0)*Data_NFI_t[[#This Row],[Mosquito net]],0)</f>
        <v>0</v>
      </c>
      <c r="X291" s="131">
        <f>IF(NFI_Expiration=1,IF($A291&lt;VLOOKUP(M$5,NFI,5,0),1,0)*Data_NFI_t[[#This Row],[Tarpaulin]],0)</f>
        <v>0</v>
      </c>
      <c r="Y291" s="131">
        <f>IF(NFI_Expiration=1,IF($A291&lt;VLOOKUP(N$5,NFI,5,0),1,0)*Data_NFI_t[[#This Row],[Blanket]],0)</f>
        <v>0</v>
      </c>
      <c r="Z291" s="131">
        <f>IF(NFI_Expiration=1,IF($A291&lt;VLOOKUP(O$5,NFI,5,0),1,0)*Data_NFI_t[[#This Row],[Kitchen Set]],0)</f>
        <v>0</v>
      </c>
      <c r="AA291" s="131">
        <f>IF(NFI_Expiration=1,IF($A291&lt;VLOOKUP(P$5,NFI,5,0),1,0)*Data_NFI_t[[#This Row],[Complementary Kit]],0)</f>
        <v>0</v>
      </c>
      <c r="AB291" s="131">
        <f>IF(NFI_Expiration=1,IF($A291&lt;VLOOKUP(Q$5,NFI,5,0),1,0)*Data_NFI_t[[#This Row],[Plastic Bucket]],0)</f>
        <v>0</v>
      </c>
      <c r="AC291" s="131">
        <f>IF(NFI_Expiration=1,IF($A291&lt;VLOOKUP(R$5,NFI,5,0),1,0)*Data_NFI_t[[#This Row],[Jerry Can]],0)</f>
        <v>0</v>
      </c>
      <c r="AD291" s="150">
        <f>IF(NFI_Expiration=1,IF($A291&lt;VLOOKUP(S$5,NFI,5,0),1,0)*Data_NFI_t[[#This Row],[Plastic Mat]],0)*IF(Data_NFI_t[[#This Row],[Distribution Date]]&gt;"01-04-2014",1,2.5)</f>
        <v>0</v>
      </c>
      <c r="AE291" s="150" t="str">
        <f ca="1">IFERROR(OFFSET(Camp_List[P_Code],MATCH(Data_NFI_t[[#This Row],[Camp Name]],Camp_List[Camp Name],0)-1,0,1,1),"")</f>
        <v>MMR012CMP006</v>
      </c>
      <c r="AF291" s="714" t="str">
        <f ca="1">IFERROR(OFFSET(Camp_List[Status],MATCH(Data_NFI_t[[#This Row],[Camp Name]],Camp_List[Camp Name],0)-1,0,1,1),"")</f>
        <v>Open</v>
      </c>
    </row>
    <row r="292" spans="1:32" s="102" customFormat="1" ht="15" customHeight="1" x14ac:dyDescent="0.25">
      <c r="A292" s="265">
        <f t="shared" si="4"/>
        <v>36.533333333333331</v>
      </c>
      <c r="B292" s="265">
        <f>YEAR(Data_NFI_t[[#This Row],[Distribution Date]])</f>
        <v>2012</v>
      </c>
      <c r="C292" s="738">
        <v>41243</v>
      </c>
      <c r="D292" s="655" t="s">
        <v>288</v>
      </c>
      <c r="E292" s="654"/>
      <c r="F292" s="655" t="s">
        <v>7</v>
      </c>
      <c r="G292" s="31" t="s">
        <v>19</v>
      </c>
      <c r="H292" s="31" t="s">
        <v>73</v>
      </c>
      <c r="I292" s="31"/>
      <c r="J292" s="61"/>
      <c r="K292" s="61"/>
      <c r="L292" s="61"/>
      <c r="M292" s="61">
        <v>130</v>
      </c>
      <c r="N292" s="61"/>
      <c r="O292" s="61"/>
      <c r="P292" s="61"/>
      <c r="Q292" s="61"/>
      <c r="R292" s="708"/>
      <c r="S292" s="61"/>
      <c r="T292" s="150">
        <f>IF(NFI_Expiration=1,IF($A292&lt;VLOOKUP(I$5,NFI,5,0),1,0)*Data_NFI_t[[#This Row],[Hygiene Kit]],0)</f>
        <v>0</v>
      </c>
      <c r="U292" s="150">
        <f>IF(NFI_Expiration=1,IF($A292&lt;VLOOKUP(J$5,NFI,5,0),1,0)*Data_NFI_t[[#This Row],[NFI Core Kit]],0)</f>
        <v>0</v>
      </c>
      <c r="V292" s="131">
        <f>IF(NFI_Expiration=1,IF($A292&lt;VLOOKUP(K$5,NFI,5,0),1,0)*Data_NFI_t[[#This Row],[Sanitary Kit]],0)</f>
        <v>0</v>
      </c>
      <c r="W292" s="131">
        <f>IF(NFI_Expiration=1,IF($A292&lt;VLOOKUP(L$5,NFI,5,0),1,0)*Data_NFI_t[[#This Row],[Mosquito net]],0)</f>
        <v>0</v>
      </c>
      <c r="X292" s="131">
        <f>IF(NFI_Expiration=1,IF($A292&lt;VLOOKUP(M$5,NFI,5,0),1,0)*Data_NFI_t[[#This Row],[Tarpaulin]],0)</f>
        <v>0</v>
      </c>
      <c r="Y292" s="131">
        <f>IF(NFI_Expiration=1,IF($A292&lt;VLOOKUP(N$5,NFI,5,0),1,0)*Data_NFI_t[[#This Row],[Blanket]],0)</f>
        <v>0</v>
      </c>
      <c r="Z292" s="131">
        <f>IF(NFI_Expiration=1,IF($A292&lt;VLOOKUP(O$5,NFI,5,0),1,0)*Data_NFI_t[[#This Row],[Kitchen Set]],0)</f>
        <v>0</v>
      </c>
      <c r="AA292" s="131">
        <f>IF(NFI_Expiration=1,IF($A292&lt;VLOOKUP(P$5,NFI,5,0),1,0)*Data_NFI_t[[#This Row],[Complementary Kit]],0)</f>
        <v>0</v>
      </c>
      <c r="AB292" s="131">
        <f>IF(NFI_Expiration=1,IF($A292&lt;VLOOKUP(Q$5,NFI,5,0),1,0)*Data_NFI_t[[#This Row],[Plastic Bucket]],0)</f>
        <v>0</v>
      </c>
      <c r="AC292" s="131">
        <f>IF(NFI_Expiration=1,IF($A292&lt;VLOOKUP(R$5,NFI,5,0),1,0)*Data_NFI_t[[#This Row],[Jerry Can]],0)</f>
        <v>0</v>
      </c>
      <c r="AD292" s="150">
        <f>IF(NFI_Expiration=1,IF($A292&lt;VLOOKUP(S$5,NFI,5,0),1,0)*Data_NFI_t[[#This Row],[Plastic Mat]],0)*IF(Data_NFI_t[[#This Row],[Distribution Date]]&gt;"01-04-2014",1,2.5)</f>
        <v>0</v>
      </c>
      <c r="AE292" s="150" t="str">
        <f ca="1">IFERROR(OFFSET(Camp_List[P_Code],MATCH(Data_NFI_t[[#This Row],[Camp Name]],Camp_List[Camp Name],0)-1,0,1,1),"")</f>
        <v>MMR012CMP051</v>
      </c>
      <c r="AF292" s="714" t="str">
        <f ca="1">IFERROR(OFFSET(Camp_List[Status],MATCH(Data_NFI_t[[#This Row],[Camp Name]],Camp_List[Camp Name],0)-1,0,1,1),"")</f>
        <v>Close</v>
      </c>
    </row>
    <row r="293" spans="1:32" s="102" customFormat="1" ht="15" customHeight="1" x14ac:dyDescent="0.25">
      <c r="A293" s="265">
        <f t="shared" si="4"/>
        <v>36.533333333333331</v>
      </c>
      <c r="B293" s="265">
        <f>YEAR(Data_NFI_t[[#This Row],[Distribution Date]])</f>
        <v>2012</v>
      </c>
      <c r="C293" s="738">
        <v>41243</v>
      </c>
      <c r="D293" s="655" t="s">
        <v>288</v>
      </c>
      <c r="E293" s="654"/>
      <c r="F293" s="655" t="s">
        <v>7</v>
      </c>
      <c r="G293" s="31" t="s">
        <v>19</v>
      </c>
      <c r="H293" s="31" t="s">
        <v>73</v>
      </c>
      <c r="I293" s="31"/>
      <c r="J293" s="61"/>
      <c r="K293" s="61"/>
      <c r="L293" s="61"/>
      <c r="M293" s="61">
        <v>314</v>
      </c>
      <c r="N293" s="61"/>
      <c r="O293" s="61"/>
      <c r="P293" s="61"/>
      <c r="Q293" s="61"/>
      <c r="R293" s="708"/>
      <c r="S293" s="61"/>
      <c r="T293" s="150">
        <f>IF(NFI_Expiration=1,IF($A293&lt;VLOOKUP(I$5,NFI,5,0),1,0)*Data_NFI_t[[#This Row],[Hygiene Kit]],0)</f>
        <v>0</v>
      </c>
      <c r="U293" s="150">
        <f>IF(NFI_Expiration=1,IF($A293&lt;VLOOKUP(J$5,NFI,5,0),1,0)*Data_NFI_t[[#This Row],[NFI Core Kit]],0)</f>
        <v>0</v>
      </c>
      <c r="V293" s="131">
        <f>IF(NFI_Expiration=1,IF($A293&lt;VLOOKUP(K$5,NFI,5,0),1,0)*Data_NFI_t[[#This Row],[Sanitary Kit]],0)</f>
        <v>0</v>
      </c>
      <c r="W293" s="131">
        <f>IF(NFI_Expiration=1,IF($A293&lt;VLOOKUP(L$5,NFI,5,0),1,0)*Data_NFI_t[[#This Row],[Mosquito net]],0)</f>
        <v>0</v>
      </c>
      <c r="X293" s="131">
        <f>IF(NFI_Expiration=1,IF($A293&lt;VLOOKUP(M$5,NFI,5,0),1,0)*Data_NFI_t[[#This Row],[Tarpaulin]],0)</f>
        <v>0</v>
      </c>
      <c r="Y293" s="131">
        <f>IF(NFI_Expiration=1,IF($A293&lt;VLOOKUP(N$5,NFI,5,0),1,0)*Data_NFI_t[[#This Row],[Blanket]],0)</f>
        <v>0</v>
      </c>
      <c r="Z293" s="131">
        <f>IF(NFI_Expiration=1,IF($A293&lt;VLOOKUP(O$5,NFI,5,0),1,0)*Data_NFI_t[[#This Row],[Kitchen Set]],0)</f>
        <v>0</v>
      </c>
      <c r="AA293" s="131">
        <f>IF(NFI_Expiration=1,IF($A293&lt;VLOOKUP(P$5,NFI,5,0),1,0)*Data_NFI_t[[#This Row],[Complementary Kit]],0)</f>
        <v>0</v>
      </c>
      <c r="AB293" s="131">
        <f>IF(NFI_Expiration=1,IF($A293&lt;VLOOKUP(Q$5,NFI,5,0),1,0)*Data_NFI_t[[#This Row],[Plastic Bucket]],0)</f>
        <v>0</v>
      </c>
      <c r="AC293" s="131">
        <f>IF(NFI_Expiration=1,IF($A293&lt;VLOOKUP(R$5,NFI,5,0),1,0)*Data_NFI_t[[#This Row],[Jerry Can]],0)</f>
        <v>0</v>
      </c>
      <c r="AD293" s="150">
        <f>IF(NFI_Expiration=1,IF($A293&lt;VLOOKUP(S$5,NFI,5,0),1,0)*Data_NFI_t[[#This Row],[Plastic Mat]],0)*IF(Data_NFI_t[[#This Row],[Distribution Date]]&gt;"01-04-2014",1,2.5)</f>
        <v>0</v>
      </c>
      <c r="AE293" s="150" t="str">
        <f ca="1">IFERROR(OFFSET(Camp_List[P_Code],MATCH(Data_NFI_t[[#This Row],[Camp Name]],Camp_List[Camp Name],0)-1,0,1,1),"")</f>
        <v>MMR012CMP051</v>
      </c>
      <c r="AF293" s="714" t="str">
        <f ca="1">IFERROR(OFFSET(Camp_List[Status],MATCH(Data_NFI_t[[#This Row],[Camp Name]],Camp_List[Camp Name],0)-1,0,1,1),"")</f>
        <v>Close</v>
      </c>
    </row>
    <row r="294" spans="1:32" s="102" customFormat="1" ht="15" customHeight="1" x14ac:dyDescent="0.25">
      <c r="A294" s="265">
        <f t="shared" si="4"/>
        <v>36.533333333333331</v>
      </c>
      <c r="B294" s="265">
        <f>YEAR(Data_NFI_t[[#This Row],[Distribution Date]])</f>
        <v>2012</v>
      </c>
      <c r="C294" s="738">
        <v>41243</v>
      </c>
      <c r="D294" s="655" t="s">
        <v>288</v>
      </c>
      <c r="E294" s="654"/>
      <c r="F294" s="655" t="s">
        <v>7</v>
      </c>
      <c r="G294" s="31" t="s">
        <v>915</v>
      </c>
      <c r="H294" s="31" t="s">
        <v>37</v>
      </c>
      <c r="I294" s="31"/>
      <c r="J294" s="61"/>
      <c r="K294" s="61"/>
      <c r="L294" s="61">
        <v>88</v>
      </c>
      <c r="M294" s="61">
        <v>44</v>
      </c>
      <c r="N294" s="61">
        <v>88</v>
      </c>
      <c r="O294" s="61">
        <v>44</v>
      </c>
      <c r="P294" s="61">
        <v>44</v>
      </c>
      <c r="Q294" s="61"/>
      <c r="R294" s="708"/>
      <c r="S294" s="61"/>
      <c r="T294" s="150">
        <f>IF(NFI_Expiration=1,IF($A294&lt;VLOOKUP(I$5,NFI,5,0),1,0)*Data_NFI_t[[#This Row],[Hygiene Kit]],0)</f>
        <v>0</v>
      </c>
      <c r="U294" s="150">
        <f>IF(NFI_Expiration=1,IF($A294&lt;VLOOKUP(J$5,NFI,5,0),1,0)*Data_NFI_t[[#This Row],[NFI Core Kit]],0)</f>
        <v>0</v>
      </c>
      <c r="V294" s="131">
        <f>IF(NFI_Expiration=1,IF($A294&lt;VLOOKUP(K$5,NFI,5,0),1,0)*Data_NFI_t[[#This Row],[Sanitary Kit]],0)</f>
        <v>0</v>
      </c>
      <c r="W294" s="131">
        <f>IF(NFI_Expiration=1,IF($A294&lt;VLOOKUP(L$5,NFI,5,0),1,0)*Data_NFI_t[[#This Row],[Mosquito net]],0)</f>
        <v>0</v>
      </c>
      <c r="X294" s="131">
        <f>IF(NFI_Expiration=1,IF($A294&lt;VLOOKUP(M$5,NFI,5,0),1,0)*Data_NFI_t[[#This Row],[Tarpaulin]],0)</f>
        <v>0</v>
      </c>
      <c r="Y294" s="131">
        <f>IF(NFI_Expiration=1,IF($A294&lt;VLOOKUP(N$5,NFI,5,0),1,0)*Data_NFI_t[[#This Row],[Blanket]],0)</f>
        <v>0</v>
      </c>
      <c r="Z294" s="131">
        <f>IF(NFI_Expiration=1,IF($A294&lt;VLOOKUP(O$5,NFI,5,0),1,0)*Data_NFI_t[[#This Row],[Kitchen Set]],0)</f>
        <v>0</v>
      </c>
      <c r="AA294" s="131">
        <f>IF(NFI_Expiration=1,IF($A294&lt;VLOOKUP(P$5,NFI,5,0),1,0)*Data_NFI_t[[#This Row],[Complementary Kit]],0)</f>
        <v>0</v>
      </c>
      <c r="AB294" s="131">
        <f>IF(NFI_Expiration=1,IF($A294&lt;VLOOKUP(Q$5,NFI,5,0),1,0)*Data_NFI_t[[#This Row],[Plastic Bucket]],0)</f>
        <v>0</v>
      </c>
      <c r="AC294" s="131">
        <f>IF(NFI_Expiration=1,IF($A294&lt;VLOOKUP(R$5,NFI,5,0),1,0)*Data_NFI_t[[#This Row],[Jerry Can]],0)</f>
        <v>0</v>
      </c>
      <c r="AD294" s="150">
        <f>IF(NFI_Expiration=1,IF($A294&lt;VLOOKUP(S$5,NFI,5,0),1,0)*Data_NFI_t[[#This Row],[Plastic Mat]],0)*IF(Data_NFI_t[[#This Row],[Distribution Date]]&gt;"01-04-2014",1,2.5)</f>
        <v>0</v>
      </c>
      <c r="AE294" s="150" t="str">
        <f ca="1">IFERROR(OFFSET(Camp_List[P_Code],MATCH(Data_NFI_t[[#This Row],[Camp Name]],Camp_List[Camp Name],0)-1,0,1,1),"")</f>
        <v>MMR012CMP013</v>
      </c>
      <c r="AF294" s="714" t="str">
        <f ca="1">IFERROR(OFFSET(Camp_List[Status],MATCH(Data_NFI_t[[#This Row],[Camp Name]],Camp_List[Camp Name],0)-1,0,1,1),"")</f>
        <v>Open</v>
      </c>
    </row>
    <row r="295" spans="1:32" s="102" customFormat="1" ht="15" customHeight="1" x14ac:dyDescent="0.25">
      <c r="A295" s="265">
        <f t="shared" si="4"/>
        <v>36.533333333333331</v>
      </c>
      <c r="B295" s="265">
        <f>YEAR(Data_NFI_t[[#This Row],[Distribution Date]])</f>
        <v>2012</v>
      </c>
      <c r="C295" s="738">
        <v>41243</v>
      </c>
      <c r="D295" s="655" t="s">
        <v>288</v>
      </c>
      <c r="E295" s="654"/>
      <c r="F295" s="655" t="s">
        <v>7</v>
      </c>
      <c r="G295" s="31" t="s">
        <v>19</v>
      </c>
      <c r="H295" s="31" t="s">
        <v>72</v>
      </c>
      <c r="I295" s="31"/>
      <c r="J295" s="61"/>
      <c r="K295" s="61"/>
      <c r="L295" s="61"/>
      <c r="M295" s="61">
        <v>822</v>
      </c>
      <c r="N295" s="61"/>
      <c r="O295" s="61"/>
      <c r="P295" s="61"/>
      <c r="Q295" s="61"/>
      <c r="R295" s="708"/>
      <c r="S295" s="61"/>
      <c r="T295" s="150">
        <f>IF(NFI_Expiration=1,IF($A295&lt;VLOOKUP(I$5,NFI,5,0),1,0)*Data_NFI_t[[#This Row],[Hygiene Kit]],0)</f>
        <v>0</v>
      </c>
      <c r="U295" s="150">
        <f>IF(NFI_Expiration=1,IF($A295&lt;VLOOKUP(J$5,NFI,5,0),1,0)*Data_NFI_t[[#This Row],[NFI Core Kit]],0)</f>
        <v>0</v>
      </c>
      <c r="V295" s="131">
        <f>IF(NFI_Expiration=1,IF($A295&lt;VLOOKUP(K$5,NFI,5,0),1,0)*Data_NFI_t[[#This Row],[Sanitary Kit]],0)</f>
        <v>0</v>
      </c>
      <c r="W295" s="131">
        <f>IF(NFI_Expiration=1,IF($A295&lt;VLOOKUP(L$5,NFI,5,0),1,0)*Data_NFI_t[[#This Row],[Mosquito net]],0)</f>
        <v>0</v>
      </c>
      <c r="X295" s="131">
        <f>IF(NFI_Expiration=1,IF($A295&lt;VLOOKUP(M$5,NFI,5,0),1,0)*Data_NFI_t[[#This Row],[Tarpaulin]],0)</f>
        <v>0</v>
      </c>
      <c r="Y295" s="131">
        <f>IF(NFI_Expiration=1,IF($A295&lt;VLOOKUP(N$5,NFI,5,0),1,0)*Data_NFI_t[[#This Row],[Blanket]],0)</f>
        <v>0</v>
      </c>
      <c r="Z295" s="131">
        <f>IF(NFI_Expiration=1,IF($A295&lt;VLOOKUP(O$5,NFI,5,0),1,0)*Data_NFI_t[[#This Row],[Kitchen Set]],0)</f>
        <v>0</v>
      </c>
      <c r="AA295" s="131">
        <f>IF(NFI_Expiration=1,IF($A295&lt;VLOOKUP(P$5,NFI,5,0),1,0)*Data_NFI_t[[#This Row],[Complementary Kit]],0)</f>
        <v>0</v>
      </c>
      <c r="AB295" s="131">
        <f>IF(NFI_Expiration=1,IF($A295&lt;VLOOKUP(Q$5,NFI,5,0),1,0)*Data_NFI_t[[#This Row],[Plastic Bucket]],0)</f>
        <v>0</v>
      </c>
      <c r="AC295" s="131">
        <f>IF(NFI_Expiration=1,IF($A295&lt;VLOOKUP(R$5,NFI,5,0),1,0)*Data_NFI_t[[#This Row],[Jerry Can]],0)</f>
        <v>0</v>
      </c>
      <c r="AD295" s="150">
        <f>IF(NFI_Expiration=1,IF($A295&lt;VLOOKUP(S$5,NFI,5,0),1,0)*Data_NFI_t[[#This Row],[Plastic Mat]],0)*IF(Data_NFI_t[[#This Row],[Distribution Date]]&gt;"01-04-2014",1,2.5)</f>
        <v>0</v>
      </c>
      <c r="AE295" s="150" t="str">
        <f ca="1">IFERROR(OFFSET(Camp_List[P_Code],MATCH(Data_NFI_t[[#This Row],[Camp Name]],Camp_List[Camp Name],0)-1,0,1,1),"")</f>
        <v>MMR012CMP050</v>
      </c>
      <c r="AF295" s="714" t="str">
        <f ca="1">IFERROR(OFFSET(Camp_List[Status],MATCH(Data_NFI_t[[#This Row],[Camp Name]],Camp_List[Camp Name],0)-1,0,1,1),"")</f>
        <v>Close</v>
      </c>
    </row>
    <row r="296" spans="1:32" s="102" customFormat="1" ht="15" customHeight="1" x14ac:dyDescent="0.25">
      <c r="A296" s="265">
        <f t="shared" si="4"/>
        <v>36.533333333333331</v>
      </c>
      <c r="B296" s="265">
        <f>YEAR(Data_NFI_t[[#This Row],[Distribution Date]])</f>
        <v>2012</v>
      </c>
      <c r="C296" s="738">
        <v>41243</v>
      </c>
      <c r="D296" s="655" t="s">
        <v>288</v>
      </c>
      <c r="E296" s="654"/>
      <c r="F296" s="655" t="s">
        <v>7</v>
      </c>
      <c r="G296" s="31" t="s">
        <v>915</v>
      </c>
      <c r="H296" s="31" t="s">
        <v>38</v>
      </c>
      <c r="I296" s="31"/>
      <c r="J296" s="61"/>
      <c r="K296" s="61"/>
      <c r="L296" s="61"/>
      <c r="M296" s="61"/>
      <c r="N296" s="61"/>
      <c r="O296" s="61"/>
      <c r="P296" s="61">
        <v>705</v>
      </c>
      <c r="Q296" s="61"/>
      <c r="R296" s="708"/>
      <c r="S296" s="61"/>
      <c r="T296" s="150">
        <f>IF(NFI_Expiration=1,IF($A296&lt;VLOOKUP(I$5,NFI,5,0),1,0)*Data_NFI_t[[#This Row],[Hygiene Kit]],0)</f>
        <v>0</v>
      </c>
      <c r="U296" s="150">
        <f>IF(NFI_Expiration=1,IF($A296&lt;VLOOKUP(J$5,NFI,5,0),1,0)*Data_NFI_t[[#This Row],[NFI Core Kit]],0)</f>
        <v>0</v>
      </c>
      <c r="V296" s="131">
        <f>IF(NFI_Expiration=1,IF($A296&lt;VLOOKUP(K$5,NFI,5,0),1,0)*Data_NFI_t[[#This Row],[Sanitary Kit]],0)</f>
        <v>0</v>
      </c>
      <c r="W296" s="131">
        <f>IF(NFI_Expiration=1,IF($A296&lt;VLOOKUP(L$5,NFI,5,0),1,0)*Data_NFI_t[[#This Row],[Mosquito net]],0)</f>
        <v>0</v>
      </c>
      <c r="X296" s="131">
        <f>IF(NFI_Expiration=1,IF($A296&lt;VLOOKUP(M$5,NFI,5,0),1,0)*Data_NFI_t[[#This Row],[Tarpaulin]],0)</f>
        <v>0</v>
      </c>
      <c r="Y296" s="131">
        <f>IF(NFI_Expiration=1,IF($A296&lt;VLOOKUP(N$5,NFI,5,0),1,0)*Data_NFI_t[[#This Row],[Blanket]],0)</f>
        <v>0</v>
      </c>
      <c r="Z296" s="131">
        <f>IF(NFI_Expiration=1,IF($A296&lt;VLOOKUP(O$5,NFI,5,0),1,0)*Data_NFI_t[[#This Row],[Kitchen Set]],0)</f>
        <v>0</v>
      </c>
      <c r="AA296" s="131">
        <f>IF(NFI_Expiration=1,IF($A296&lt;VLOOKUP(P$5,NFI,5,0),1,0)*Data_NFI_t[[#This Row],[Complementary Kit]],0)</f>
        <v>0</v>
      </c>
      <c r="AB296" s="131">
        <f>IF(NFI_Expiration=1,IF($A296&lt;VLOOKUP(Q$5,NFI,5,0),1,0)*Data_NFI_t[[#This Row],[Plastic Bucket]],0)</f>
        <v>0</v>
      </c>
      <c r="AC296" s="131">
        <f>IF(NFI_Expiration=1,IF($A296&lt;VLOOKUP(R$5,NFI,5,0),1,0)*Data_NFI_t[[#This Row],[Jerry Can]],0)</f>
        <v>0</v>
      </c>
      <c r="AD296" s="150">
        <f>IF(NFI_Expiration=1,IF($A296&lt;VLOOKUP(S$5,NFI,5,0),1,0)*Data_NFI_t[[#This Row],[Plastic Mat]],0)*IF(Data_NFI_t[[#This Row],[Distribution Date]]&gt;"01-04-2014",1,2.5)</f>
        <v>0</v>
      </c>
      <c r="AE296" s="150" t="str">
        <f ca="1">IFERROR(OFFSET(Camp_List[P_Code],MATCH(Data_NFI_t[[#This Row],[Camp Name]],Camp_List[Camp Name],0)-1,0,1,1),"")</f>
        <v>MMR012CMP014</v>
      </c>
      <c r="AF296" s="714" t="str">
        <f ca="1">IFERROR(OFFSET(Camp_List[Status],MATCH(Data_NFI_t[[#This Row],[Camp Name]],Camp_List[Camp Name],0)-1,0,1,1),"")</f>
        <v>Open</v>
      </c>
    </row>
    <row r="297" spans="1:32" s="102" customFormat="1" ht="15" customHeight="1" x14ac:dyDescent="0.25">
      <c r="A297" s="265">
        <f t="shared" si="4"/>
        <v>36.533333333333331</v>
      </c>
      <c r="B297" s="265">
        <f>YEAR(Data_NFI_t[[#This Row],[Distribution Date]])</f>
        <v>2012</v>
      </c>
      <c r="C297" s="738">
        <v>41243</v>
      </c>
      <c r="D297" s="655" t="s">
        <v>292</v>
      </c>
      <c r="E297" s="654" t="s">
        <v>288</v>
      </c>
      <c r="F297" s="655" t="s">
        <v>7</v>
      </c>
      <c r="G297" s="31" t="s">
        <v>19</v>
      </c>
      <c r="H297" s="31" t="s">
        <v>70</v>
      </c>
      <c r="I297" s="31"/>
      <c r="J297" s="61"/>
      <c r="K297" s="61"/>
      <c r="L297" s="61"/>
      <c r="M297" s="61"/>
      <c r="N297" s="61">
        <v>100</v>
      </c>
      <c r="O297" s="61"/>
      <c r="P297" s="61"/>
      <c r="Q297" s="61"/>
      <c r="R297" s="708"/>
      <c r="S297" s="61"/>
      <c r="T297" s="150">
        <f>IF(NFI_Expiration=1,IF($A297&lt;VLOOKUP(I$5,NFI,5,0),1,0)*Data_NFI_t[[#This Row],[Hygiene Kit]],0)</f>
        <v>0</v>
      </c>
      <c r="U297" s="150">
        <f>IF(NFI_Expiration=1,IF($A297&lt;VLOOKUP(J$5,NFI,5,0),1,0)*Data_NFI_t[[#This Row],[NFI Core Kit]],0)</f>
        <v>0</v>
      </c>
      <c r="V297" s="131">
        <f>IF(NFI_Expiration=1,IF($A297&lt;VLOOKUP(K$5,NFI,5,0),1,0)*Data_NFI_t[[#This Row],[Sanitary Kit]],0)</f>
        <v>0</v>
      </c>
      <c r="W297" s="131">
        <f>IF(NFI_Expiration=1,IF($A297&lt;VLOOKUP(L$5,NFI,5,0),1,0)*Data_NFI_t[[#This Row],[Mosquito net]],0)</f>
        <v>0</v>
      </c>
      <c r="X297" s="131">
        <f>IF(NFI_Expiration=1,IF($A297&lt;VLOOKUP(M$5,NFI,5,0),1,0)*Data_NFI_t[[#This Row],[Tarpaulin]],0)</f>
        <v>0</v>
      </c>
      <c r="Y297" s="131">
        <f>IF(NFI_Expiration=1,IF($A297&lt;VLOOKUP(N$5,NFI,5,0),1,0)*Data_NFI_t[[#This Row],[Blanket]],0)</f>
        <v>0</v>
      </c>
      <c r="Z297" s="131">
        <f>IF(NFI_Expiration=1,IF($A297&lt;VLOOKUP(O$5,NFI,5,0),1,0)*Data_NFI_t[[#This Row],[Kitchen Set]],0)</f>
        <v>0</v>
      </c>
      <c r="AA297" s="131">
        <f>IF(NFI_Expiration=1,IF($A297&lt;VLOOKUP(P$5,NFI,5,0),1,0)*Data_NFI_t[[#This Row],[Complementary Kit]],0)</f>
        <v>0</v>
      </c>
      <c r="AB297" s="131">
        <f>IF(NFI_Expiration=1,IF($A297&lt;VLOOKUP(Q$5,NFI,5,0),1,0)*Data_NFI_t[[#This Row],[Plastic Bucket]],0)</f>
        <v>0</v>
      </c>
      <c r="AC297" s="131">
        <f>IF(NFI_Expiration=1,IF($A297&lt;VLOOKUP(R$5,NFI,5,0),1,0)*Data_NFI_t[[#This Row],[Jerry Can]],0)</f>
        <v>0</v>
      </c>
      <c r="AD297" s="150">
        <f>IF(NFI_Expiration=1,IF($A297&lt;VLOOKUP(S$5,NFI,5,0),1,0)*Data_NFI_t[[#This Row],[Plastic Mat]],0)*IF(Data_NFI_t[[#This Row],[Distribution Date]]&gt;"01-04-2014",1,2.5)</f>
        <v>0</v>
      </c>
      <c r="AE297" s="150" t="str">
        <f ca="1">IFERROR(OFFSET(Camp_List[P_Code],MATCH(Data_NFI_t[[#This Row],[Camp Name]],Camp_List[Camp Name],0)-1,0,1,1),"")</f>
        <v>MMR012CMP048</v>
      </c>
      <c r="AF297" s="714" t="str">
        <f ca="1">IFERROR(OFFSET(Camp_List[Status],MATCH(Data_NFI_t[[#This Row],[Camp Name]],Camp_List[Camp Name],0)-1,0,1,1),"")</f>
        <v>Open</v>
      </c>
    </row>
    <row r="298" spans="1:32" s="102" customFormat="1" ht="15" customHeight="1" x14ac:dyDescent="0.25">
      <c r="A298" s="265">
        <f t="shared" si="4"/>
        <v>36.833333333333336</v>
      </c>
      <c r="B298" s="265">
        <f>YEAR(Data_NFI_t[[#This Row],[Distribution Date]])</f>
        <v>2012</v>
      </c>
      <c r="C298" s="738">
        <v>41234</v>
      </c>
      <c r="D298" s="655" t="s">
        <v>288</v>
      </c>
      <c r="E298" s="654"/>
      <c r="F298" s="655" t="s">
        <v>7</v>
      </c>
      <c r="G298" s="31" t="s">
        <v>11</v>
      </c>
      <c r="H298" s="31" t="s">
        <v>28</v>
      </c>
      <c r="I298" s="31"/>
      <c r="J298" s="61"/>
      <c r="K298" s="61"/>
      <c r="L298" s="61"/>
      <c r="M298" s="61">
        <v>129</v>
      </c>
      <c r="N298" s="61"/>
      <c r="O298" s="61"/>
      <c r="P298" s="61"/>
      <c r="Q298" s="61"/>
      <c r="R298" s="708"/>
      <c r="S298" s="61"/>
      <c r="T298" s="150">
        <f>IF(NFI_Expiration=1,IF($A298&lt;VLOOKUP(I$5,NFI,5,0),1,0)*Data_NFI_t[[#This Row],[Hygiene Kit]],0)</f>
        <v>0</v>
      </c>
      <c r="U298" s="150">
        <f>IF(NFI_Expiration=1,IF($A298&lt;VLOOKUP(J$5,NFI,5,0),1,0)*Data_NFI_t[[#This Row],[NFI Core Kit]],0)</f>
        <v>0</v>
      </c>
      <c r="V298" s="131">
        <f>IF(NFI_Expiration=1,IF($A298&lt;VLOOKUP(K$5,NFI,5,0),1,0)*Data_NFI_t[[#This Row],[Sanitary Kit]],0)</f>
        <v>0</v>
      </c>
      <c r="W298" s="131">
        <f>IF(NFI_Expiration=1,IF($A298&lt;VLOOKUP(L$5,NFI,5,0),1,0)*Data_NFI_t[[#This Row],[Mosquito net]],0)</f>
        <v>0</v>
      </c>
      <c r="X298" s="131">
        <f>IF(NFI_Expiration=1,IF($A298&lt;VLOOKUP(M$5,NFI,5,0),1,0)*Data_NFI_t[[#This Row],[Tarpaulin]],0)</f>
        <v>0</v>
      </c>
      <c r="Y298" s="131">
        <f>IF(NFI_Expiration=1,IF($A298&lt;VLOOKUP(N$5,NFI,5,0),1,0)*Data_NFI_t[[#This Row],[Blanket]],0)</f>
        <v>0</v>
      </c>
      <c r="Z298" s="131">
        <f>IF(NFI_Expiration=1,IF($A298&lt;VLOOKUP(O$5,NFI,5,0),1,0)*Data_NFI_t[[#This Row],[Kitchen Set]],0)</f>
        <v>0</v>
      </c>
      <c r="AA298" s="131">
        <f>IF(NFI_Expiration=1,IF($A298&lt;VLOOKUP(P$5,NFI,5,0),1,0)*Data_NFI_t[[#This Row],[Complementary Kit]],0)</f>
        <v>0</v>
      </c>
      <c r="AB298" s="131">
        <f>IF(NFI_Expiration=1,IF($A298&lt;VLOOKUP(Q$5,NFI,5,0),1,0)*Data_NFI_t[[#This Row],[Plastic Bucket]],0)</f>
        <v>0</v>
      </c>
      <c r="AC298" s="131">
        <f>IF(NFI_Expiration=1,IF($A298&lt;VLOOKUP(R$5,NFI,5,0),1,0)*Data_NFI_t[[#This Row],[Jerry Can]],0)</f>
        <v>0</v>
      </c>
      <c r="AD298" s="150">
        <f>IF(NFI_Expiration=1,IF($A298&lt;VLOOKUP(S$5,NFI,5,0),1,0)*Data_NFI_t[[#This Row],[Plastic Mat]],0)*IF(Data_NFI_t[[#This Row],[Distribution Date]]&gt;"01-04-2014",1,2.5)</f>
        <v>0</v>
      </c>
      <c r="AE298" s="150" t="str">
        <f ca="1">IFERROR(OFFSET(Camp_List[P_Code],MATCH(Data_NFI_t[[#This Row],[Camp Name]],Camp_List[Camp Name],0)-1,0,1,1),"")</f>
        <v>MMR012CMP004</v>
      </c>
      <c r="AF298" s="714" t="str">
        <f ca="1">IFERROR(OFFSET(Camp_List[Status],MATCH(Data_NFI_t[[#This Row],[Camp Name]],Camp_List[Camp Name],0)-1,0,1,1),"")</f>
        <v>Close</v>
      </c>
    </row>
    <row r="299" spans="1:32" s="102" customFormat="1" ht="15" customHeight="1" x14ac:dyDescent="0.25">
      <c r="A299" s="265">
        <f t="shared" si="4"/>
        <v>36.833333333333336</v>
      </c>
      <c r="B299" s="265">
        <f>YEAR(Data_NFI_t[[#This Row],[Distribution Date]])</f>
        <v>2012</v>
      </c>
      <c r="C299" s="738">
        <v>41234</v>
      </c>
      <c r="D299" s="655" t="s">
        <v>288</v>
      </c>
      <c r="E299" s="654"/>
      <c r="F299" s="655" t="s">
        <v>7</v>
      </c>
      <c r="G299" s="31" t="s">
        <v>12</v>
      </c>
      <c r="H299" s="31" t="s">
        <v>33</v>
      </c>
      <c r="I299" s="31"/>
      <c r="J299" s="61"/>
      <c r="K299" s="61"/>
      <c r="L299" s="61"/>
      <c r="M299" s="61">
        <v>140</v>
      </c>
      <c r="N299" s="61"/>
      <c r="O299" s="61"/>
      <c r="P299" s="61"/>
      <c r="Q299" s="61"/>
      <c r="R299" s="708"/>
      <c r="S299" s="61"/>
      <c r="T299" s="150">
        <f>IF(NFI_Expiration=1,IF($A299&lt;VLOOKUP(I$5,NFI,5,0),1,0)*Data_NFI_t[[#This Row],[Hygiene Kit]],0)</f>
        <v>0</v>
      </c>
      <c r="U299" s="150">
        <f>IF(NFI_Expiration=1,IF($A299&lt;VLOOKUP(J$5,NFI,5,0),1,0)*Data_NFI_t[[#This Row],[NFI Core Kit]],0)</f>
        <v>0</v>
      </c>
      <c r="V299" s="131">
        <f>IF(NFI_Expiration=1,IF($A299&lt;VLOOKUP(K$5,NFI,5,0),1,0)*Data_NFI_t[[#This Row],[Sanitary Kit]],0)</f>
        <v>0</v>
      </c>
      <c r="W299" s="131">
        <f>IF(NFI_Expiration=1,IF($A299&lt;VLOOKUP(L$5,NFI,5,0),1,0)*Data_NFI_t[[#This Row],[Mosquito net]],0)</f>
        <v>0</v>
      </c>
      <c r="X299" s="131">
        <f>IF(NFI_Expiration=1,IF($A299&lt;VLOOKUP(M$5,NFI,5,0),1,0)*Data_NFI_t[[#This Row],[Tarpaulin]],0)</f>
        <v>0</v>
      </c>
      <c r="Y299" s="131">
        <f>IF(NFI_Expiration=1,IF($A299&lt;VLOOKUP(N$5,NFI,5,0),1,0)*Data_NFI_t[[#This Row],[Blanket]],0)</f>
        <v>0</v>
      </c>
      <c r="Z299" s="131">
        <f>IF(NFI_Expiration=1,IF($A299&lt;VLOOKUP(O$5,NFI,5,0),1,0)*Data_NFI_t[[#This Row],[Kitchen Set]],0)</f>
        <v>0</v>
      </c>
      <c r="AA299" s="131">
        <f>IF(NFI_Expiration=1,IF($A299&lt;VLOOKUP(P$5,NFI,5,0),1,0)*Data_NFI_t[[#This Row],[Complementary Kit]],0)</f>
        <v>0</v>
      </c>
      <c r="AB299" s="131">
        <f>IF(NFI_Expiration=1,IF($A299&lt;VLOOKUP(Q$5,NFI,5,0),1,0)*Data_NFI_t[[#This Row],[Plastic Bucket]],0)</f>
        <v>0</v>
      </c>
      <c r="AC299" s="131">
        <f>IF(NFI_Expiration=1,IF($A299&lt;VLOOKUP(R$5,NFI,5,0),1,0)*Data_NFI_t[[#This Row],[Jerry Can]],0)</f>
        <v>0</v>
      </c>
      <c r="AD299" s="150">
        <f>IF(NFI_Expiration=1,IF($A299&lt;VLOOKUP(S$5,NFI,5,0),1,0)*Data_NFI_t[[#This Row],[Plastic Mat]],0)*IF(Data_NFI_t[[#This Row],[Distribution Date]]&gt;"01-04-2014",1,2.5)</f>
        <v>0</v>
      </c>
      <c r="AE299" s="150" t="str">
        <f ca="1">IFERROR(OFFSET(Camp_List[P_Code],MATCH(Data_NFI_t[[#This Row],[Camp Name]],Camp_List[Camp Name],0)-1,0,1,1),"")</f>
        <v>MMR012CMP009</v>
      </c>
      <c r="AF299" s="714" t="str">
        <f ca="1">IFERROR(OFFSET(Camp_List[Status],MATCH(Data_NFI_t[[#This Row],[Camp Name]],Camp_List[Camp Name],0)-1,0,1,1),"")</f>
        <v>Open</v>
      </c>
    </row>
    <row r="300" spans="1:32" s="102" customFormat="1" ht="15" customHeight="1" x14ac:dyDescent="0.25">
      <c r="A300" s="265">
        <f t="shared" si="4"/>
        <v>36.833333333333336</v>
      </c>
      <c r="B300" s="265">
        <f>YEAR(Data_NFI_t[[#This Row],[Distribution Date]])</f>
        <v>2012</v>
      </c>
      <c r="C300" s="738">
        <v>41234</v>
      </c>
      <c r="D300" s="655" t="s">
        <v>288</v>
      </c>
      <c r="E300" s="654"/>
      <c r="F300" s="655" t="s">
        <v>7</v>
      </c>
      <c r="G300" s="31" t="s">
        <v>11</v>
      </c>
      <c r="H300" s="31" t="s">
        <v>32</v>
      </c>
      <c r="I300" s="31"/>
      <c r="J300" s="61"/>
      <c r="K300" s="61"/>
      <c r="L300" s="61">
        <v>27</v>
      </c>
      <c r="M300" s="61">
        <v>2</v>
      </c>
      <c r="N300" s="61"/>
      <c r="O300" s="61"/>
      <c r="P300" s="61"/>
      <c r="Q300" s="61"/>
      <c r="R300" s="708"/>
      <c r="S300" s="61"/>
      <c r="T300" s="150">
        <f>IF(NFI_Expiration=1,IF($A300&lt;VLOOKUP(I$5,NFI,5,0),1,0)*Data_NFI_t[[#This Row],[Hygiene Kit]],0)</f>
        <v>0</v>
      </c>
      <c r="U300" s="150">
        <f>IF(NFI_Expiration=1,IF($A300&lt;VLOOKUP(J$5,NFI,5,0),1,0)*Data_NFI_t[[#This Row],[NFI Core Kit]],0)</f>
        <v>0</v>
      </c>
      <c r="V300" s="131">
        <f>IF(NFI_Expiration=1,IF($A300&lt;VLOOKUP(K$5,NFI,5,0),1,0)*Data_NFI_t[[#This Row],[Sanitary Kit]],0)</f>
        <v>0</v>
      </c>
      <c r="W300" s="131">
        <f>IF(NFI_Expiration=1,IF($A300&lt;VLOOKUP(L$5,NFI,5,0),1,0)*Data_NFI_t[[#This Row],[Mosquito net]],0)</f>
        <v>0</v>
      </c>
      <c r="X300" s="131">
        <f>IF(NFI_Expiration=1,IF($A300&lt;VLOOKUP(M$5,NFI,5,0),1,0)*Data_NFI_t[[#This Row],[Tarpaulin]],0)</f>
        <v>0</v>
      </c>
      <c r="Y300" s="131">
        <f>IF(NFI_Expiration=1,IF($A300&lt;VLOOKUP(N$5,NFI,5,0),1,0)*Data_NFI_t[[#This Row],[Blanket]],0)</f>
        <v>0</v>
      </c>
      <c r="Z300" s="131">
        <f>IF(NFI_Expiration=1,IF($A300&lt;VLOOKUP(O$5,NFI,5,0),1,0)*Data_NFI_t[[#This Row],[Kitchen Set]],0)</f>
        <v>0</v>
      </c>
      <c r="AA300" s="131">
        <f>IF(NFI_Expiration=1,IF($A300&lt;VLOOKUP(P$5,NFI,5,0),1,0)*Data_NFI_t[[#This Row],[Complementary Kit]],0)</f>
        <v>0</v>
      </c>
      <c r="AB300" s="131">
        <f>IF(NFI_Expiration=1,IF($A300&lt;VLOOKUP(Q$5,NFI,5,0),1,0)*Data_NFI_t[[#This Row],[Plastic Bucket]],0)</f>
        <v>0</v>
      </c>
      <c r="AC300" s="131">
        <f>IF(NFI_Expiration=1,IF($A300&lt;VLOOKUP(R$5,NFI,5,0),1,0)*Data_NFI_t[[#This Row],[Jerry Can]],0)</f>
        <v>0</v>
      </c>
      <c r="AD300" s="150">
        <f>IF(NFI_Expiration=1,IF($A300&lt;VLOOKUP(S$5,NFI,5,0),1,0)*Data_NFI_t[[#This Row],[Plastic Mat]],0)*IF(Data_NFI_t[[#This Row],[Distribution Date]]&gt;"01-04-2014",1,2.5)</f>
        <v>0</v>
      </c>
      <c r="AE300" s="150" t="str">
        <f ca="1">IFERROR(OFFSET(Camp_List[P_Code],MATCH(Data_NFI_t[[#This Row],[Camp Name]],Camp_List[Camp Name],0)-1,0,1,1),"")</f>
        <v>MMR012CMP008</v>
      </c>
      <c r="AF300" s="714" t="str">
        <f ca="1">IFERROR(OFFSET(Camp_List[Status],MATCH(Data_NFI_t[[#This Row],[Camp Name]],Camp_List[Camp Name],0)-1,0,1,1),"")</f>
        <v>Open</v>
      </c>
    </row>
    <row r="301" spans="1:32" s="102" customFormat="1" ht="15" customHeight="1" x14ac:dyDescent="0.25">
      <c r="A301" s="265">
        <f t="shared" si="4"/>
        <v>36.833333333333336</v>
      </c>
      <c r="B301" s="265">
        <f>YEAR(Data_NFI_t[[#This Row],[Distribution Date]])</f>
        <v>2012</v>
      </c>
      <c r="C301" s="738">
        <v>41234</v>
      </c>
      <c r="D301" s="655" t="s">
        <v>288</v>
      </c>
      <c r="E301" s="654"/>
      <c r="F301" s="655" t="s">
        <v>7</v>
      </c>
      <c r="G301" s="31" t="s">
        <v>11</v>
      </c>
      <c r="H301" s="31" t="s">
        <v>27</v>
      </c>
      <c r="I301" s="31"/>
      <c r="J301" s="61"/>
      <c r="K301" s="61"/>
      <c r="L301" s="61">
        <v>172</v>
      </c>
      <c r="M301" s="61">
        <v>10</v>
      </c>
      <c r="N301" s="61">
        <v>172</v>
      </c>
      <c r="O301" s="61"/>
      <c r="P301" s="61"/>
      <c r="Q301" s="61"/>
      <c r="R301" s="708"/>
      <c r="S301" s="61"/>
      <c r="T301" s="150">
        <f>IF(NFI_Expiration=1,IF($A301&lt;VLOOKUP(I$5,NFI,5,0),1,0)*Data_NFI_t[[#This Row],[Hygiene Kit]],0)</f>
        <v>0</v>
      </c>
      <c r="U301" s="150">
        <f>IF(NFI_Expiration=1,IF($A301&lt;VLOOKUP(J$5,NFI,5,0),1,0)*Data_NFI_t[[#This Row],[NFI Core Kit]],0)</f>
        <v>0</v>
      </c>
      <c r="V301" s="131">
        <f>IF(NFI_Expiration=1,IF($A301&lt;VLOOKUP(K$5,NFI,5,0),1,0)*Data_NFI_t[[#This Row],[Sanitary Kit]],0)</f>
        <v>0</v>
      </c>
      <c r="W301" s="131">
        <f>IF(NFI_Expiration=1,IF($A301&lt;VLOOKUP(L$5,NFI,5,0),1,0)*Data_NFI_t[[#This Row],[Mosquito net]],0)</f>
        <v>0</v>
      </c>
      <c r="X301" s="131">
        <f>IF(NFI_Expiration=1,IF($A301&lt;VLOOKUP(M$5,NFI,5,0),1,0)*Data_NFI_t[[#This Row],[Tarpaulin]],0)</f>
        <v>0</v>
      </c>
      <c r="Y301" s="131">
        <f>IF(NFI_Expiration=1,IF($A301&lt;VLOOKUP(N$5,NFI,5,0),1,0)*Data_NFI_t[[#This Row],[Blanket]],0)</f>
        <v>0</v>
      </c>
      <c r="Z301" s="131">
        <f>IF(NFI_Expiration=1,IF($A301&lt;VLOOKUP(O$5,NFI,5,0),1,0)*Data_NFI_t[[#This Row],[Kitchen Set]],0)</f>
        <v>0</v>
      </c>
      <c r="AA301" s="131">
        <f>IF(NFI_Expiration=1,IF($A301&lt;VLOOKUP(P$5,NFI,5,0),1,0)*Data_NFI_t[[#This Row],[Complementary Kit]],0)</f>
        <v>0</v>
      </c>
      <c r="AB301" s="131">
        <f>IF(NFI_Expiration=1,IF($A301&lt;VLOOKUP(Q$5,NFI,5,0),1,0)*Data_NFI_t[[#This Row],[Plastic Bucket]],0)</f>
        <v>0</v>
      </c>
      <c r="AC301" s="131">
        <f>IF(NFI_Expiration=1,IF($A301&lt;VLOOKUP(R$5,NFI,5,0),1,0)*Data_NFI_t[[#This Row],[Jerry Can]],0)</f>
        <v>0</v>
      </c>
      <c r="AD301" s="150">
        <f>IF(NFI_Expiration=1,IF($A301&lt;VLOOKUP(S$5,NFI,5,0),1,0)*Data_NFI_t[[#This Row],[Plastic Mat]],0)*IF(Data_NFI_t[[#This Row],[Distribution Date]]&gt;"01-04-2014",1,2.5)</f>
        <v>0</v>
      </c>
      <c r="AE301" s="150" t="str">
        <f ca="1">IFERROR(OFFSET(Camp_List[P_Code],MATCH(Data_NFI_t[[#This Row],[Camp Name]],Camp_List[Camp Name],0)-1,0,1,1),"")</f>
        <v>MMR012CMP003</v>
      </c>
      <c r="AF301" s="714" t="str">
        <f ca="1">IFERROR(OFFSET(Camp_List[Status],MATCH(Data_NFI_t[[#This Row],[Camp Name]],Camp_List[Camp Name],0)-1,0,1,1),"")</f>
        <v>Open</v>
      </c>
    </row>
    <row r="302" spans="1:32" s="102" customFormat="1" ht="15" customHeight="1" x14ac:dyDescent="0.25">
      <c r="A302" s="265">
        <f t="shared" si="4"/>
        <v>36.833333333333336</v>
      </c>
      <c r="B302" s="265">
        <f>YEAR(Data_NFI_t[[#This Row],[Distribution Date]])</f>
        <v>2012</v>
      </c>
      <c r="C302" s="738">
        <v>41234</v>
      </c>
      <c r="D302" s="655" t="s">
        <v>288</v>
      </c>
      <c r="E302" s="654"/>
      <c r="F302" s="655" t="s">
        <v>7</v>
      </c>
      <c r="G302" s="31" t="s">
        <v>11</v>
      </c>
      <c r="H302" s="31" t="s">
        <v>26</v>
      </c>
      <c r="I302" s="31"/>
      <c r="J302" s="61"/>
      <c r="K302" s="61"/>
      <c r="L302" s="61"/>
      <c r="M302" s="61">
        <v>145</v>
      </c>
      <c r="N302" s="61"/>
      <c r="O302" s="61"/>
      <c r="P302" s="61"/>
      <c r="Q302" s="61"/>
      <c r="R302" s="708"/>
      <c r="S302" s="61"/>
      <c r="T302" s="150">
        <f>IF(NFI_Expiration=1,IF($A302&lt;VLOOKUP(I$5,NFI,5,0),1,0)*Data_NFI_t[[#This Row],[Hygiene Kit]],0)</f>
        <v>0</v>
      </c>
      <c r="U302" s="150">
        <f>IF(NFI_Expiration=1,IF($A302&lt;VLOOKUP(J$5,NFI,5,0),1,0)*Data_NFI_t[[#This Row],[NFI Core Kit]],0)</f>
        <v>0</v>
      </c>
      <c r="V302" s="131">
        <f>IF(NFI_Expiration=1,IF($A302&lt;VLOOKUP(K$5,NFI,5,0),1,0)*Data_NFI_t[[#This Row],[Sanitary Kit]],0)</f>
        <v>0</v>
      </c>
      <c r="W302" s="131">
        <f>IF(NFI_Expiration=1,IF($A302&lt;VLOOKUP(L$5,NFI,5,0),1,0)*Data_NFI_t[[#This Row],[Mosquito net]],0)</f>
        <v>0</v>
      </c>
      <c r="X302" s="131">
        <f>IF(NFI_Expiration=1,IF($A302&lt;VLOOKUP(M$5,NFI,5,0),1,0)*Data_NFI_t[[#This Row],[Tarpaulin]],0)</f>
        <v>0</v>
      </c>
      <c r="Y302" s="131">
        <f>IF(NFI_Expiration=1,IF($A302&lt;VLOOKUP(N$5,NFI,5,0),1,0)*Data_NFI_t[[#This Row],[Blanket]],0)</f>
        <v>0</v>
      </c>
      <c r="Z302" s="131">
        <f>IF(NFI_Expiration=1,IF($A302&lt;VLOOKUP(O$5,NFI,5,0),1,0)*Data_NFI_t[[#This Row],[Kitchen Set]],0)</f>
        <v>0</v>
      </c>
      <c r="AA302" s="131">
        <f>IF(NFI_Expiration=1,IF($A302&lt;VLOOKUP(P$5,NFI,5,0),1,0)*Data_NFI_t[[#This Row],[Complementary Kit]],0)</f>
        <v>0</v>
      </c>
      <c r="AB302" s="131">
        <f>IF(NFI_Expiration=1,IF($A302&lt;VLOOKUP(Q$5,NFI,5,0),1,0)*Data_NFI_t[[#This Row],[Plastic Bucket]],0)</f>
        <v>0</v>
      </c>
      <c r="AC302" s="131">
        <f>IF(NFI_Expiration=1,IF($A302&lt;VLOOKUP(R$5,NFI,5,0),1,0)*Data_NFI_t[[#This Row],[Jerry Can]],0)</f>
        <v>0</v>
      </c>
      <c r="AD302" s="150">
        <f>IF(NFI_Expiration=1,IF($A302&lt;VLOOKUP(S$5,NFI,5,0),1,0)*Data_NFI_t[[#This Row],[Plastic Mat]],0)*IF(Data_NFI_t[[#This Row],[Distribution Date]]&gt;"01-04-2014",1,2.5)</f>
        <v>0</v>
      </c>
      <c r="AE302" s="150" t="str">
        <f ca="1">IFERROR(OFFSET(Camp_List[P_Code],MATCH(Data_NFI_t[[#This Row],[Camp Name]],Camp_List[Camp Name],0)-1,0,1,1),"")</f>
        <v>MMR012CMP002</v>
      </c>
      <c r="AF302" s="714" t="str">
        <f ca="1">IFERROR(OFFSET(Camp_List[Status],MATCH(Data_NFI_t[[#This Row],[Camp Name]],Camp_List[Camp Name],0)-1,0,1,1),"")</f>
        <v>Open</v>
      </c>
    </row>
    <row r="303" spans="1:32" s="102" customFormat="1" ht="15" customHeight="1" x14ac:dyDescent="0.25">
      <c r="A303" s="265">
        <f t="shared" si="4"/>
        <v>36.833333333333336</v>
      </c>
      <c r="B303" s="265">
        <f>YEAR(Data_NFI_t[[#This Row],[Distribution Date]])</f>
        <v>2012</v>
      </c>
      <c r="C303" s="738">
        <v>41234</v>
      </c>
      <c r="D303" s="655" t="s">
        <v>288</v>
      </c>
      <c r="E303" s="654"/>
      <c r="F303" s="655" t="s">
        <v>7</v>
      </c>
      <c r="G303" s="31" t="s">
        <v>12</v>
      </c>
      <c r="H303" s="31" t="s">
        <v>34</v>
      </c>
      <c r="I303" s="31"/>
      <c r="J303" s="61"/>
      <c r="K303" s="61"/>
      <c r="L303" s="61"/>
      <c r="M303" s="61">
        <v>83</v>
      </c>
      <c r="N303" s="61"/>
      <c r="O303" s="61"/>
      <c r="P303" s="61"/>
      <c r="Q303" s="61"/>
      <c r="R303" s="708"/>
      <c r="S303" s="61"/>
      <c r="T303" s="150">
        <f>IF(NFI_Expiration=1,IF($A303&lt;VLOOKUP(I$5,NFI,5,0),1,0)*Data_NFI_t[[#This Row],[Hygiene Kit]],0)</f>
        <v>0</v>
      </c>
      <c r="U303" s="150">
        <f>IF(NFI_Expiration=1,IF($A303&lt;VLOOKUP(J$5,NFI,5,0),1,0)*Data_NFI_t[[#This Row],[NFI Core Kit]],0)</f>
        <v>0</v>
      </c>
      <c r="V303" s="131">
        <f>IF(NFI_Expiration=1,IF($A303&lt;VLOOKUP(K$5,NFI,5,0),1,0)*Data_NFI_t[[#This Row],[Sanitary Kit]],0)</f>
        <v>0</v>
      </c>
      <c r="W303" s="131">
        <f>IF(NFI_Expiration=1,IF($A303&lt;VLOOKUP(L$5,NFI,5,0),1,0)*Data_NFI_t[[#This Row],[Mosquito net]],0)</f>
        <v>0</v>
      </c>
      <c r="X303" s="131">
        <f>IF(NFI_Expiration=1,IF($A303&lt;VLOOKUP(M$5,NFI,5,0),1,0)*Data_NFI_t[[#This Row],[Tarpaulin]],0)</f>
        <v>0</v>
      </c>
      <c r="Y303" s="131">
        <f>IF(NFI_Expiration=1,IF($A303&lt;VLOOKUP(N$5,NFI,5,0),1,0)*Data_NFI_t[[#This Row],[Blanket]],0)</f>
        <v>0</v>
      </c>
      <c r="Z303" s="131">
        <f>IF(NFI_Expiration=1,IF($A303&lt;VLOOKUP(O$5,NFI,5,0),1,0)*Data_NFI_t[[#This Row],[Kitchen Set]],0)</f>
        <v>0</v>
      </c>
      <c r="AA303" s="131">
        <f>IF(NFI_Expiration=1,IF($A303&lt;VLOOKUP(P$5,NFI,5,0),1,0)*Data_NFI_t[[#This Row],[Complementary Kit]],0)</f>
        <v>0</v>
      </c>
      <c r="AB303" s="131">
        <f>IF(NFI_Expiration=1,IF($A303&lt;VLOOKUP(Q$5,NFI,5,0),1,0)*Data_NFI_t[[#This Row],[Plastic Bucket]],0)</f>
        <v>0</v>
      </c>
      <c r="AC303" s="131">
        <f>IF(NFI_Expiration=1,IF($A303&lt;VLOOKUP(R$5,NFI,5,0),1,0)*Data_NFI_t[[#This Row],[Jerry Can]],0)</f>
        <v>0</v>
      </c>
      <c r="AD303" s="150">
        <f>IF(NFI_Expiration=1,IF($A303&lt;VLOOKUP(S$5,NFI,5,0),1,0)*Data_NFI_t[[#This Row],[Plastic Mat]],0)*IF(Data_NFI_t[[#This Row],[Distribution Date]]&gt;"01-04-2014",1,2.5)</f>
        <v>0</v>
      </c>
      <c r="AE303" s="150" t="str">
        <f ca="1">IFERROR(OFFSET(Camp_List[P_Code],MATCH(Data_NFI_t[[#This Row],[Camp Name]],Camp_List[Camp Name],0)-1,0,1,1),"")</f>
        <v>MMR012CMP010</v>
      </c>
      <c r="AF303" s="714" t="str">
        <f ca="1">IFERROR(OFFSET(Camp_List[Status],MATCH(Data_NFI_t[[#This Row],[Camp Name]],Camp_List[Camp Name],0)-1,0,1,1),"")</f>
        <v>Open</v>
      </c>
    </row>
    <row r="304" spans="1:32" s="102" customFormat="1" ht="15" customHeight="1" x14ac:dyDescent="0.25">
      <c r="A304" s="265">
        <f t="shared" si="4"/>
        <v>36.9</v>
      </c>
      <c r="B304" s="265">
        <f>YEAR(Data_NFI_t[[#This Row],[Distribution Date]])</f>
        <v>2012</v>
      </c>
      <c r="C304" s="738">
        <v>41232</v>
      </c>
      <c r="D304" s="655" t="s">
        <v>288</v>
      </c>
      <c r="E304" s="654"/>
      <c r="F304" s="655" t="s">
        <v>7</v>
      </c>
      <c r="G304" s="31" t="s">
        <v>14</v>
      </c>
      <c r="H304" s="31" t="s">
        <v>40</v>
      </c>
      <c r="I304" s="31"/>
      <c r="J304" s="61"/>
      <c r="K304" s="61"/>
      <c r="L304" s="61"/>
      <c r="M304" s="61">
        <v>458</v>
      </c>
      <c r="N304" s="61">
        <v>148</v>
      </c>
      <c r="O304" s="61"/>
      <c r="P304" s="61"/>
      <c r="Q304" s="61"/>
      <c r="R304" s="708"/>
      <c r="S304" s="61"/>
      <c r="T304" s="150">
        <f>IF(NFI_Expiration=1,IF($A304&lt;VLOOKUP(I$5,NFI,5,0),1,0)*Data_NFI_t[[#This Row],[Hygiene Kit]],0)</f>
        <v>0</v>
      </c>
      <c r="U304" s="150">
        <f>IF(NFI_Expiration=1,IF($A304&lt;VLOOKUP(J$5,NFI,5,0),1,0)*Data_NFI_t[[#This Row],[NFI Core Kit]],0)</f>
        <v>0</v>
      </c>
      <c r="V304" s="131">
        <f>IF(NFI_Expiration=1,IF($A304&lt;VLOOKUP(K$5,NFI,5,0),1,0)*Data_NFI_t[[#This Row],[Sanitary Kit]],0)</f>
        <v>0</v>
      </c>
      <c r="W304" s="131">
        <f>IF(NFI_Expiration=1,IF($A304&lt;VLOOKUP(L$5,NFI,5,0),1,0)*Data_NFI_t[[#This Row],[Mosquito net]],0)</f>
        <v>0</v>
      </c>
      <c r="X304" s="131">
        <f>IF(NFI_Expiration=1,IF($A304&lt;VLOOKUP(M$5,NFI,5,0),1,0)*Data_NFI_t[[#This Row],[Tarpaulin]],0)</f>
        <v>0</v>
      </c>
      <c r="Y304" s="131">
        <f>IF(NFI_Expiration=1,IF($A304&lt;VLOOKUP(N$5,NFI,5,0),1,0)*Data_NFI_t[[#This Row],[Blanket]],0)</f>
        <v>0</v>
      </c>
      <c r="Z304" s="131">
        <f>IF(NFI_Expiration=1,IF($A304&lt;VLOOKUP(O$5,NFI,5,0),1,0)*Data_NFI_t[[#This Row],[Kitchen Set]],0)</f>
        <v>0</v>
      </c>
      <c r="AA304" s="131">
        <f>IF(NFI_Expiration=1,IF($A304&lt;VLOOKUP(P$5,NFI,5,0),1,0)*Data_NFI_t[[#This Row],[Complementary Kit]],0)</f>
        <v>0</v>
      </c>
      <c r="AB304" s="131">
        <f>IF(NFI_Expiration=1,IF($A304&lt;VLOOKUP(Q$5,NFI,5,0),1,0)*Data_NFI_t[[#This Row],[Plastic Bucket]],0)</f>
        <v>0</v>
      </c>
      <c r="AC304" s="131">
        <f>IF(NFI_Expiration=1,IF($A304&lt;VLOOKUP(R$5,NFI,5,0),1,0)*Data_NFI_t[[#This Row],[Jerry Can]],0)</f>
        <v>0</v>
      </c>
      <c r="AD304" s="150">
        <f>IF(NFI_Expiration=1,IF($A304&lt;VLOOKUP(S$5,NFI,5,0),1,0)*Data_NFI_t[[#This Row],[Plastic Mat]],0)*IF(Data_NFI_t[[#This Row],[Distribution Date]]&gt;"01-04-2014",1,2.5)</f>
        <v>0</v>
      </c>
      <c r="AE304" s="150" t="str">
        <f ca="1">IFERROR(OFFSET(Camp_List[P_Code],MATCH(Data_NFI_t[[#This Row],[Camp Name]],Camp_List[Camp Name],0)-1,0,1,1),"")</f>
        <v>MMR012CMP016</v>
      </c>
      <c r="AF304" s="714" t="str">
        <f ca="1">IFERROR(OFFSET(Camp_List[Status],MATCH(Data_NFI_t[[#This Row],[Camp Name]],Camp_List[Camp Name],0)-1,0,1,1),"")</f>
        <v>Open</v>
      </c>
    </row>
    <row r="305" spans="1:32" s="102" customFormat="1" ht="15" customHeight="1" x14ac:dyDescent="0.25">
      <c r="A305" s="265">
        <f t="shared" si="4"/>
        <v>36.9</v>
      </c>
      <c r="B305" s="265">
        <f>YEAR(Data_NFI_t[[#This Row],[Distribution Date]])</f>
        <v>2012</v>
      </c>
      <c r="C305" s="738">
        <v>41232</v>
      </c>
      <c r="D305" s="655" t="s">
        <v>288</v>
      </c>
      <c r="E305" s="654"/>
      <c r="F305" s="655" t="s">
        <v>7</v>
      </c>
      <c r="G305" s="31" t="s">
        <v>14</v>
      </c>
      <c r="H305" s="31" t="s">
        <v>42</v>
      </c>
      <c r="I305" s="31"/>
      <c r="J305" s="61"/>
      <c r="K305" s="61"/>
      <c r="L305" s="61">
        <v>769</v>
      </c>
      <c r="M305" s="61">
        <v>369</v>
      </c>
      <c r="N305" s="61">
        <v>1538</v>
      </c>
      <c r="O305" s="61">
        <v>769</v>
      </c>
      <c r="P305" s="61"/>
      <c r="Q305" s="61"/>
      <c r="R305" s="708"/>
      <c r="S305" s="61"/>
      <c r="T305" s="150">
        <f>IF(NFI_Expiration=1,IF($A305&lt;VLOOKUP(I$5,NFI,5,0),1,0)*Data_NFI_t[[#This Row],[Hygiene Kit]],0)</f>
        <v>0</v>
      </c>
      <c r="U305" s="150">
        <f>IF(NFI_Expiration=1,IF($A305&lt;VLOOKUP(J$5,NFI,5,0),1,0)*Data_NFI_t[[#This Row],[NFI Core Kit]],0)</f>
        <v>0</v>
      </c>
      <c r="V305" s="131">
        <f>IF(NFI_Expiration=1,IF($A305&lt;VLOOKUP(K$5,NFI,5,0),1,0)*Data_NFI_t[[#This Row],[Sanitary Kit]],0)</f>
        <v>0</v>
      </c>
      <c r="W305" s="131">
        <f>IF(NFI_Expiration=1,IF($A305&lt;VLOOKUP(L$5,NFI,5,0),1,0)*Data_NFI_t[[#This Row],[Mosquito net]],0)</f>
        <v>0</v>
      </c>
      <c r="X305" s="131">
        <f>IF(NFI_Expiration=1,IF($A305&lt;VLOOKUP(M$5,NFI,5,0),1,0)*Data_NFI_t[[#This Row],[Tarpaulin]],0)</f>
        <v>0</v>
      </c>
      <c r="Y305" s="131">
        <f>IF(NFI_Expiration=1,IF($A305&lt;VLOOKUP(N$5,NFI,5,0),1,0)*Data_NFI_t[[#This Row],[Blanket]],0)</f>
        <v>0</v>
      </c>
      <c r="Z305" s="131">
        <f>IF(NFI_Expiration=1,IF($A305&lt;VLOOKUP(O$5,NFI,5,0),1,0)*Data_NFI_t[[#This Row],[Kitchen Set]],0)</f>
        <v>0</v>
      </c>
      <c r="AA305" s="131">
        <f>IF(NFI_Expiration=1,IF($A305&lt;VLOOKUP(P$5,NFI,5,0),1,0)*Data_NFI_t[[#This Row],[Complementary Kit]],0)</f>
        <v>0</v>
      </c>
      <c r="AB305" s="131">
        <f>IF(NFI_Expiration=1,IF($A305&lt;VLOOKUP(Q$5,NFI,5,0),1,0)*Data_NFI_t[[#This Row],[Plastic Bucket]],0)</f>
        <v>0</v>
      </c>
      <c r="AC305" s="131">
        <f>IF(NFI_Expiration=1,IF($A305&lt;VLOOKUP(R$5,NFI,5,0),1,0)*Data_NFI_t[[#This Row],[Jerry Can]],0)</f>
        <v>0</v>
      </c>
      <c r="AD305" s="150">
        <f>IF(NFI_Expiration=1,IF($A305&lt;VLOOKUP(S$5,NFI,5,0),1,0)*Data_NFI_t[[#This Row],[Plastic Mat]],0)*IF(Data_NFI_t[[#This Row],[Distribution Date]]&gt;"01-04-2014",1,2.5)</f>
        <v>0</v>
      </c>
      <c r="AE305" s="150" t="str">
        <f ca="1">IFERROR(OFFSET(Camp_List[P_Code],MATCH(Data_NFI_t[[#This Row],[Camp Name]],Camp_List[Camp Name],0)-1,0,1,1),"")</f>
        <v>MMR012CMP018</v>
      </c>
      <c r="AF305" s="714" t="str">
        <f ca="1">IFERROR(OFFSET(Camp_List[Status],MATCH(Data_NFI_t[[#This Row],[Camp Name]],Camp_List[Camp Name],0)-1,0,1,1),"")</f>
        <v>Open</v>
      </c>
    </row>
    <row r="306" spans="1:32" s="102" customFormat="1" ht="15" customHeight="1" x14ac:dyDescent="0.25">
      <c r="A306" s="265">
        <f t="shared" si="4"/>
        <v>36.9</v>
      </c>
      <c r="B306" s="265">
        <f>YEAR(Data_NFI_t[[#This Row],[Distribution Date]])</f>
        <v>2012</v>
      </c>
      <c r="C306" s="738">
        <v>41232</v>
      </c>
      <c r="D306" s="655" t="s">
        <v>288</v>
      </c>
      <c r="E306" s="654"/>
      <c r="F306" s="655" t="s">
        <v>7</v>
      </c>
      <c r="G306" s="31" t="s">
        <v>14</v>
      </c>
      <c r="H306" s="31" t="s">
        <v>41</v>
      </c>
      <c r="I306" s="31"/>
      <c r="J306" s="61"/>
      <c r="K306" s="61"/>
      <c r="L306" s="61">
        <v>1306</v>
      </c>
      <c r="M306" s="61">
        <v>506</v>
      </c>
      <c r="N306" s="61">
        <v>1306</v>
      </c>
      <c r="O306" s="61">
        <v>1306</v>
      </c>
      <c r="P306" s="61"/>
      <c r="Q306" s="61"/>
      <c r="R306" s="708"/>
      <c r="S306" s="61"/>
      <c r="T306" s="150">
        <f>IF(NFI_Expiration=1,IF($A306&lt;VLOOKUP(I$5,NFI,5,0),1,0)*Data_NFI_t[[#This Row],[Hygiene Kit]],0)</f>
        <v>0</v>
      </c>
      <c r="U306" s="150">
        <f>IF(NFI_Expiration=1,IF($A306&lt;VLOOKUP(J$5,NFI,5,0),1,0)*Data_NFI_t[[#This Row],[NFI Core Kit]],0)</f>
        <v>0</v>
      </c>
      <c r="V306" s="131">
        <f>IF(NFI_Expiration=1,IF($A306&lt;VLOOKUP(K$5,NFI,5,0),1,0)*Data_NFI_t[[#This Row],[Sanitary Kit]],0)</f>
        <v>0</v>
      </c>
      <c r="W306" s="131">
        <f>IF(NFI_Expiration=1,IF($A306&lt;VLOOKUP(L$5,NFI,5,0),1,0)*Data_NFI_t[[#This Row],[Mosquito net]],0)</f>
        <v>0</v>
      </c>
      <c r="X306" s="131">
        <f>IF(NFI_Expiration=1,IF($A306&lt;VLOOKUP(M$5,NFI,5,0),1,0)*Data_NFI_t[[#This Row],[Tarpaulin]],0)</f>
        <v>0</v>
      </c>
      <c r="Y306" s="131">
        <f>IF(NFI_Expiration=1,IF($A306&lt;VLOOKUP(N$5,NFI,5,0),1,0)*Data_NFI_t[[#This Row],[Blanket]],0)</f>
        <v>0</v>
      </c>
      <c r="Z306" s="131">
        <f>IF(NFI_Expiration=1,IF($A306&lt;VLOOKUP(O$5,NFI,5,0),1,0)*Data_NFI_t[[#This Row],[Kitchen Set]],0)</f>
        <v>0</v>
      </c>
      <c r="AA306" s="131">
        <f>IF(NFI_Expiration=1,IF($A306&lt;VLOOKUP(P$5,NFI,5,0),1,0)*Data_NFI_t[[#This Row],[Complementary Kit]],0)</f>
        <v>0</v>
      </c>
      <c r="AB306" s="131">
        <f>IF(NFI_Expiration=1,IF($A306&lt;VLOOKUP(Q$5,NFI,5,0),1,0)*Data_NFI_t[[#This Row],[Plastic Bucket]],0)</f>
        <v>0</v>
      </c>
      <c r="AC306" s="131">
        <f>IF(NFI_Expiration=1,IF($A306&lt;VLOOKUP(R$5,NFI,5,0),1,0)*Data_NFI_t[[#This Row],[Jerry Can]],0)</f>
        <v>0</v>
      </c>
      <c r="AD306" s="150">
        <f>IF(NFI_Expiration=1,IF($A306&lt;VLOOKUP(S$5,NFI,5,0),1,0)*Data_NFI_t[[#This Row],[Plastic Mat]],0)*IF(Data_NFI_t[[#This Row],[Distribution Date]]&gt;"01-04-2014",1,2.5)</f>
        <v>0</v>
      </c>
      <c r="AE306" s="150" t="str">
        <f ca="1">IFERROR(OFFSET(Camp_List[P_Code],MATCH(Data_NFI_t[[#This Row],[Camp Name]],Camp_List[Camp Name],0)-1,0,1,1),"")</f>
        <v>MMR012CMP017</v>
      </c>
      <c r="AF306" s="714" t="str">
        <f ca="1">IFERROR(OFFSET(Camp_List[Status],MATCH(Data_NFI_t[[#This Row],[Camp Name]],Camp_List[Camp Name],0)-1,0,1,1),"")</f>
        <v>Open</v>
      </c>
    </row>
    <row r="307" spans="1:32" s="102" customFormat="1" ht="15" customHeight="1" x14ac:dyDescent="0.25">
      <c r="A307" s="265">
        <f t="shared" si="4"/>
        <v>36.9</v>
      </c>
      <c r="B307" s="265">
        <f>YEAR(Data_NFI_t[[#This Row],[Distribution Date]])</f>
        <v>2012</v>
      </c>
      <c r="C307" s="738">
        <v>41232</v>
      </c>
      <c r="D307" s="655" t="s">
        <v>288</v>
      </c>
      <c r="E307" s="654"/>
      <c r="F307" s="655" t="s">
        <v>7</v>
      </c>
      <c r="G307" s="31" t="s">
        <v>18</v>
      </c>
      <c r="H307" s="31" t="s">
        <v>60</v>
      </c>
      <c r="I307" s="31"/>
      <c r="J307" s="61"/>
      <c r="K307" s="61"/>
      <c r="L307" s="61">
        <v>26</v>
      </c>
      <c r="M307" s="61">
        <v>13</v>
      </c>
      <c r="N307" s="61">
        <v>26</v>
      </c>
      <c r="O307" s="61">
        <v>13</v>
      </c>
      <c r="P307" s="61"/>
      <c r="Q307" s="61"/>
      <c r="R307" s="708"/>
      <c r="S307" s="61"/>
      <c r="T307" s="150">
        <f>IF(NFI_Expiration=1,IF($A307&lt;VLOOKUP(I$5,NFI,5,0),1,0)*Data_NFI_t[[#This Row],[Hygiene Kit]],0)</f>
        <v>0</v>
      </c>
      <c r="U307" s="150">
        <f>IF(NFI_Expiration=1,IF($A307&lt;VLOOKUP(J$5,NFI,5,0),1,0)*Data_NFI_t[[#This Row],[NFI Core Kit]],0)</f>
        <v>0</v>
      </c>
      <c r="V307" s="131">
        <f>IF(NFI_Expiration=1,IF($A307&lt;VLOOKUP(K$5,NFI,5,0),1,0)*Data_NFI_t[[#This Row],[Sanitary Kit]],0)</f>
        <v>0</v>
      </c>
      <c r="W307" s="131">
        <f>IF(NFI_Expiration=1,IF($A307&lt;VLOOKUP(L$5,NFI,5,0),1,0)*Data_NFI_t[[#This Row],[Mosquito net]],0)</f>
        <v>0</v>
      </c>
      <c r="X307" s="131">
        <f>IF(NFI_Expiration=1,IF($A307&lt;VLOOKUP(M$5,NFI,5,0),1,0)*Data_NFI_t[[#This Row],[Tarpaulin]],0)</f>
        <v>0</v>
      </c>
      <c r="Y307" s="131">
        <f>IF(NFI_Expiration=1,IF($A307&lt;VLOOKUP(N$5,NFI,5,0),1,0)*Data_NFI_t[[#This Row],[Blanket]],0)</f>
        <v>0</v>
      </c>
      <c r="Z307" s="131">
        <f>IF(NFI_Expiration=1,IF($A307&lt;VLOOKUP(O$5,NFI,5,0),1,0)*Data_NFI_t[[#This Row],[Kitchen Set]],0)</f>
        <v>0</v>
      </c>
      <c r="AA307" s="131">
        <f>IF(NFI_Expiration=1,IF($A307&lt;VLOOKUP(P$5,NFI,5,0),1,0)*Data_NFI_t[[#This Row],[Complementary Kit]],0)</f>
        <v>0</v>
      </c>
      <c r="AB307" s="131">
        <f>IF(NFI_Expiration=1,IF($A307&lt;VLOOKUP(Q$5,NFI,5,0),1,0)*Data_NFI_t[[#This Row],[Plastic Bucket]],0)</f>
        <v>0</v>
      </c>
      <c r="AC307" s="131">
        <f>IF(NFI_Expiration=1,IF($A307&lt;VLOOKUP(R$5,NFI,5,0),1,0)*Data_NFI_t[[#This Row],[Jerry Can]],0)</f>
        <v>0</v>
      </c>
      <c r="AD307" s="150">
        <f>IF(NFI_Expiration=1,IF($A307&lt;VLOOKUP(S$5,NFI,5,0),1,0)*Data_NFI_t[[#This Row],[Plastic Mat]],0)*IF(Data_NFI_t[[#This Row],[Distribution Date]]&gt;"01-04-2014",1,2.5)</f>
        <v>0</v>
      </c>
      <c r="AE307" s="150" t="str">
        <f ca="1">IFERROR(OFFSET(Camp_List[P_Code],MATCH(Data_NFI_t[[#This Row],[Camp Name]],Camp_List[Camp Name],0)-1,0,1,1),"")</f>
        <v>MMR012CMP038</v>
      </c>
      <c r="AF307" s="714" t="str">
        <f ca="1">IFERROR(OFFSET(Camp_List[Status],MATCH(Data_NFI_t[[#This Row],[Camp Name]],Camp_List[Camp Name],0)-1,0,1,1),"")</f>
        <v>Open</v>
      </c>
    </row>
    <row r="308" spans="1:32" s="102" customFormat="1" ht="15" customHeight="1" x14ac:dyDescent="0.25">
      <c r="A308" s="265">
        <f t="shared" si="4"/>
        <v>36.9</v>
      </c>
      <c r="B308" s="265">
        <f>YEAR(Data_NFI_t[[#This Row],[Distribution Date]])</f>
        <v>2012</v>
      </c>
      <c r="C308" s="738">
        <v>41232</v>
      </c>
      <c r="D308" s="655" t="s">
        <v>288</v>
      </c>
      <c r="E308" s="654"/>
      <c r="F308" s="655" t="s">
        <v>7</v>
      </c>
      <c r="G308" s="31" t="s">
        <v>18</v>
      </c>
      <c r="H308" s="31" t="s">
        <v>59</v>
      </c>
      <c r="I308" s="31"/>
      <c r="J308" s="61"/>
      <c r="K308" s="61"/>
      <c r="L308" s="61">
        <v>194</v>
      </c>
      <c r="M308" s="61">
        <v>97</v>
      </c>
      <c r="N308" s="61">
        <v>194</v>
      </c>
      <c r="O308" s="61">
        <v>97</v>
      </c>
      <c r="P308" s="61"/>
      <c r="Q308" s="61"/>
      <c r="R308" s="708"/>
      <c r="S308" s="61"/>
      <c r="T308" s="150">
        <f>IF(NFI_Expiration=1,IF($A308&lt;VLOOKUP(I$5,NFI,5,0),1,0)*Data_NFI_t[[#This Row],[Hygiene Kit]],0)</f>
        <v>0</v>
      </c>
      <c r="U308" s="150">
        <f>IF(NFI_Expiration=1,IF($A308&lt;VLOOKUP(J$5,NFI,5,0),1,0)*Data_NFI_t[[#This Row],[NFI Core Kit]],0)</f>
        <v>0</v>
      </c>
      <c r="V308" s="131">
        <f>IF(NFI_Expiration=1,IF($A308&lt;VLOOKUP(K$5,NFI,5,0),1,0)*Data_NFI_t[[#This Row],[Sanitary Kit]],0)</f>
        <v>0</v>
      </c>
      <c r="W308" s="131">
        <f>IF(NFI_Expiration=1,IF($A308&lt;VLOOKUP(L$5,NFI,5,0),1,0)*Data_NFI_t[[#This Row],[Mosquito net]],0)</f>
        <v>0</v>
      </c>
      <c r="X308" s="131">
        <f>IF(NFI_Expiration=1,IF($A308&lt;VLOOKUP(M$5,NFI,5,0),1,0)*Data_NFI_t[[#This Row],[Tarpaulin]],0)</f>
        <v>0</v>
      </c>
      <c r="Y308" s="131">
        <f>IF(NFI_Expiration=1,IF($A308&lt;VLOOKUP(N$5,NFI,5,0),1,0)*Data_NFI_t[[#This Row],[Blanket]],0)</f>
        <v>0</v>
      </c>
      <c r="Z308" s="131">
        <f>IF(NFI_Expiration=1,IF($A308&lt;VLOOKUP(O$5,NFI,5,0),1,0)*Data_NFI_t[[#This Row],[Kitchen Set]],0)</f>
        <v>0</v>
      </c>
      <c r="AA308" s="131">
        <f>IF(NFI_Expiration=1,IF($A308&lt;VLOOKUP(P$5,NFI,5,0),1,0)*Data_NFI_t[[#This Row],[Complementary Kit]],0)</f>
        <v>0</v>
      </c>
      <c r="AB308" s="131">
        <f>IF(NFI_Expiration=1,IF($A308&lt;VLOOKUP(Q$5,NFI,5,0),1,0)*Data_NFI_t[[#This Row],[Plastic Bucket]],0)</f>
        <v>0</v>
      </c>
      <c r="AC308" s="131">
        <f>IF(NFI_Expiration=1,IF($A308&lt;VLOOKUP(R$5,NFI,5,0),1,0)*Data_NFI_t[[#This Row],[Jerry Can]],0)</f>
        <v>0</v>
      </c>
      <c r="AD308" s="150">
        <f>IF(NFI_Expiration=1,IF($A308&lt;VLOOKUP(S$5,NFI,5,0),1,0)*Data_NFI_t[[#This Row],[Plastic Mat]],0)*IF(Data_NFI_t[[#This Row],[Distribution Date]]&gt;"01-04-2014",1,2.5)</f>
        <v>0</v>
      </c>
      <c r="AE308" s="150" t="str">
        <f ca="1">IFERROR(OFFSET(Camp_List[P_Code],MATCH(Data_NFI_t[[#This Row],[Camp Name]],Camp_List[Camp Name],0)-1,0,1,1),"")</f>
        <v>MMR012CMP037</v>
      </c>
      <c r="AF308" s="714" t="str">
        <f ca="1">IFERROR(OFFSET(Camp_List[Status],MATCH(Data_NFI_t[[#This Row],[Camp Name]],Camp_List[Camp Name],0)-1,0,1,1),"")</f>
        <v>Open</v>
      </c>
    </row>
    <row r="309" spans="1:32" s="102" customFormat="1" ht="15" customHeight="1" x14ac:dyDescent="0.25">
      <c r="A309" s="265">
        <f t="shared" si="4"/>
        <v>36.9</v>
      </c>
      <c r="B309" s="265">
        <f>YEAR(Data_NFI_t[[#This Row],[Distribution Date]])</f>
        <v>2012</v>
      </c>
      <c r="C309" s="738">
        <v>41232</v>
      </c>
      <c r="D309" s="655" t="s">
        <v>288</v>
      </c>
      <c r="E309" s="654"/>
      <c r="F309" s="655" t="s">
        <v>7</v>
      </c>
      <c r="G309" s="31" t="s">
        <v>14</v>
      </c>
      <c r="H309" s="31" t="s">
        <v>43</v>
      </c>
      <c r="I309" s="31"/>
      <c r="J309" s="61"/>
      <c r="K309" s="61"/>
      <c r="L309" s="61"/>
      <c r="M309" s="61">
        <v>362</v>
      </c>
      <c r="N309" s="61"/>
      <c r="O309" s="61"/>
      <c r="P309" s="61"/>
      <c r="Q309" s="61"/>
      <c r="R309" s="708"/>
      <c r="S309" s="61"/>
      <c r="T309" s="150">
        <f>IF(NFI_Expiration=1,IF($A309&lt;VLOOKUP(I$5,NFI,5,0),1,0)*Data_NFI_t[[#This Row],[Hygiene Kit]],0)</f>
        <v>0</v>
      </c>
      <c r="U309" s="150">
        <f>IF(NFI_Expiration=1,IF($A309&lt;VLOOKUP(J$5,NFI,5,0),1,0)*Data_NFI_t[[#This Row],[NFI Core Kit]],0)</f>
        <v>0</v>
      </c>
      <c r="V309" s="131">
        <f>IF(NFI_Expiration=1,IF($A309&lt;VLOOKUP(K$5,NFI,5,0),1,0)*Data_NFI_t[[#This Row],[Sanitary Kit]],0)</f>
        <v>0</v>
      </c>
      <c r="W309" s="131">
        <f>IF(NFI_Expiration=1,IF($A309&lt;VLOOKUP(L$5,NFI,5,0),1,0)*Data_NFI_t[[#This Row],[Mosquito net]],0)</f>
        <v>0</v>
      </c>
      <c r="X309" s="131">
        <f>IF(NFI_Expiration=1,IF($A309&lt;VLOOKUP(M$5,NFI,5,0),1,0)*Data_NFI_t[[#This Row],[Tarpaulin]],0)</f>
        <v>0</v>
      </c>
      <c r="Y309" s="131">
        <f>IF(NFI_Expiration=1,IF($A309&lt;VLOOKUP(N$5,NFI,5,0),1,0)*Data_NFI_t[[#This Row],[Blanket]],0)</f>
        <v>0</v>
      </c>
      <c r="Z309" s="131">
        <f>IF(NFI_Expiration=1,IF($A309&lt;VLOOKUP(O$5,NFI,5,0),1,0)*Data_NFI_t[[#This Row],[Kitchen Set]],0)</f>
        <v>0</v>
      </c>
      <c r="AA309" s="131">
        <f>IF(NFI_Expiration=1,IF($A309&lt;VLOOKUP(P$5,NFI,5,0),1,0)*Data_NFI_t[[#This Row],[Complementary Kit]],0)</f>
        <v>0</v>
      </c>
      <c r="AB309" s="131">
        <f>IF(NFI_Expiration=1,IF($A309&lt;VLOOKUP(Q$5,NFI,5,0),1,0)*Data_NFI_t[[#This Row],[Plastic Bucket]],0)</f>
        <v>0</v>
      </c>
      <c r="AC309" s="131">
        <f>IF(NFI_Expiration=1,IF($A309&lt;VLOOKUP(R$5,NFI,5,0),1,0)*Data_NFI_t[[#This Row],[Jerry Can]],0)</f>
        <v>0</v>
      </c>
      <c r="AD309" s="150">
        <f>IF(NFI_Expiration=1,IF($A309&lt;VLOOKUP(S$5,NFI,5,0),1,0)*Data_NFI_t[[#This Row],[Plastic Mat]],0)*IF(Data_NFI_t[[#This Row],[Distribution Date]]&gt;"01-04-2014",1,2.5)</f>
        <v>0</v>
      </c>
      <c r="AE309" s="150" t="str">
        <f ca="1">IFERROR(OFFSET(Camp_List[P_Code],MATCH(Data_NFI_t[[#This Row],[Camp Name]],Camp_List[Camp Name],0)-1,0,1,1),"")</f>
        <v>MMR012CMP019</v>
      </c>
      <c r="AF309" s="714" t="str">
        <f ca="1">IFERROR(OFFSET(Camp_List[Status],MATCH(Data_NFI_t[[#This Row],[Camp Name]],Camp_List[Camp Name],0)-1,0,1,1),"")</f>
        <v>Open</v>
      </c>
    </row>
    <row r="310" spans="1:32" s="102" customFormat="1" ht="15" customHeight="1" x14ac:dyDescent="0.25">
      <c r="A310" s="265">
        <f t="shared" si="4"/>
        <v>37.43333333333333</v>
      </c>
      <c r="B310" s="265">
        <f>YEAR(Data_NFI_t[[#This Row],[Distribution Date]])</f>
        <v>2012</v>
      </c>
      <c r="C310" s="738">
        <v>41216</v>
      </c>
      <c r="D310" s="655" t="s">
        <v>288</v>
      </c>
      <c r="E310" s="654"/>
      <c r="F310" s="655" t="s">
        <v>7</v>
      </c>
      <c r="G310" s="31" t="s">
        <v>14</v>
      </c>
      <c r="H310" s="31" t="s">
        <v>43</v>
      </c>
      <c r="I310" s="31"/>
      <c r="J310" s="61"/>
      <c r="K310" s="61"/>
      <c r="L310" s="61">
        <v>862</v>
      </c>
      <c r="M310" s="61">
        <v>500</v>
      </c>
      <c r="N310" s="61">
        <v>862</v>
      </c>
      <c r="O310" s="61">
        <v>862</v>
      </c>
      <c r="P310" s="61"/>
      <c r="Q310" s="61"/>
      <c r="R310" s="708"/>
      <c r="S310" s="61"/>
      <c r="T310" s="150">
        <f>IF(NFI_Expiration=1,IF($A310&lt;VLOOKUP(I$5,NFI,5,0),1,0)*Data_NFI_t[[#This Row],[Hygiene Kit]],0)</f>
        <v>0</v>
      </c>
      <c r="U310" s="150">
        <f>IF(NFI_Expiration=1,IF($A310&lt;VLOOKUP(J$5,NFI,5,0),1,0)*Data_NFI_t[[#This Row],[NFI Core Kit]],0)</f>
        <v>0</v>
      </c>
      <c r="V310" s="131">
        <f>IF(NFI_Expiration=1,IF($A310&lt;VLOOKUP(K$5,NFI,5,0),1,0)*Data_NFI_t[[#This Row],[Sanitary Kit]],0)</f>
        <v>0</v>
      </c>
      <c r="W310" s="131">
        <f>IF(NFI_Expiration=1,IF($A310&lt;VLOOKUP(L$5,NFI,5,0),1,0)*Data_NFI_t[[#This Row],[Mosquito net]],0)</f>
        <v>0</v>
      </c>
      <c r="X310" s="131">
        <f>IF(NFI_Expiration=1,IF($A310&lt;VLOOKUP(M$5,NFI,5,0),1,0)*Data_NFI_t[[#This Row],[Tarpaulin]],0)</f>
        <v>0</v>
      </c>
      <c r="Y310" s="131">
        <f>IF(NFI_Expiration=1,IF($A310&lt;VLOOKUP(N$5,NFI,5,0),1,0)*Data_NFI_t[[#This Row],[Blanket]],0)</f>
        <v>0</v>
      </c>
      <c r="Z310" s="131">
        <f>IF(NFI_Expiration=1,IF($A310&lt;VLOOKUP(O$5,NFI,5,0),1,0)*Data_NFI_t[[#This Row],[Kitchen Set]],0)</f>
        <v>0</v>
      </c>
      <c r="AA310" s="131">
        <f>IF(NFI_Expiration=1,IF($A310&lt;VLOOKUP(P$5,NFI,5,0),1,0)*Data_NFI_t[[#This Row],[Complementary Kit]],0)</f>
        <v>0</v>
      </c>
      <c r="AB310" s="131">
        <f>IF(NFI_Expiration=1,IF($A310&lt;VLOOKUP(Q$5,NFI,5,0),1,0)*Data_NFI_t[[#This Row],[Plastic Bucket]],0)</f>
        <v>0</v>
      </c>
      <c r="AC310" s="131">
        <f>IF(NFI_Expiration=1,IF($A310&lt;VLOOKUP(R$5,NFI,5,0),1,0)*Data_NFI_t[[#This Row],[Jerry Can]],0)</f>
        <v>0</v>
      </c>
      <c r="AD310" s="150">
        <f>IF(NFI_Expiration=1,IF($A310&lt;VLOOKUP(S$5,NFI,5,0),1,0)*Data_NFI_t[[#This Row],[Plastic Mat]],0)*IF(Data_NFI_t[[#This Row],[Distribution Date]]&gt;"01-04-2014",1,2.5)</f>
        <v>0</v>
      </c>
      <c r="AE310" s="150" t="str">
        <f ca="1">IFERROR(OFFSET(Camp_List[P_Code],MATCH(Data_NFI_t[[#This Row],[Camp Name]],Camp_List[Camp Name],0)-1,0,1,1),"")</f>
        <v>MMR012CMP019</v>
      </c>
      <c r="AF310" s="714" t="str">
        <f ca="1">IFERROR(OFFSET(Camp_List[Status],MATCH(Data_NFI_t[[#This Row],[Camp Name]],Camp_List[Camp Name],0)-1,0,1,1),"")</f>
        <v>Open</v>
      </c>
    </row>
    <row r="311" spans="1:32" s="102" customFormat="1" ht="15" customHeight="1" x14ac:dyDescent="0.25">
      <c r="A311" s="265">
        <f t="shared" si="4"/>
        <v>37.466666666666669</v>
      </c>
      <c r="B311" s="265">
        <f>YEAR(Data_NFI_t[[#This Row],[Distribution Date]])</f>
        <v>2012</v>
      </c>
      <c r="C311" s="738">
        <v>41215</v>
      </c>
      <c r="D311" s="655" t="s">
        <v>288</v>
      </c>
      <c r="E311" s="654"/>
      <c r="F311" s="655" t="s">
        <v>7</v>
      </c>
      <c r="G311" s="31" t="s">
        <v>15</v>
      </c>
      <c r="H311" s="31" t="s">
        <v>49</v>
      </c>
      <c r="I311" s="31"/>
      <c r="J311" s="61"/>
      <c r="K311" s="61"/>
      <c r="L311" s="61"/>
      <c r="M311" s="61">
        <v>85</v>
      </c>
      <c r="N311" s="61"/>
      <c r="O311" s="61"/>
      <c r="P311" s="61"/>
      <c r="Q311" s="61"/>
      <c r="R311" s="708"/>
      <c r="S311" s="61"/>
      <c r="T311" s="150">
        <f>IF(NFI_Expiration=1,IF($A311&lt;VLOOKUP(I$5,NFI,5,0),1,0)*Data_NFI_t[[#This Row],[Hygiene Kit]],0)</f>
        <v>0</v>
      </c>
      <c r="U311" s="150">
        <f>IF(NFI_Expiration=1,IF($A311&lt;VLOOKUP(J$5,NFI,5,0),1,0)*Data_NFI_t[[#This Row],[NFI Core Kit]],0)</f>
        <v>0</v>
      </c>
      <c r="V311" s="131">
        <f>IF(NFI_Expiration=1,IF($A311&lt;VLOOKUP(K$5,NFI,5,0),1,0)*Data_NFI_t[[#This Row],[Sanitary Kit]],0)</f>
        <v>0</v>
      </c>
      <c r="W311" s="131">
        <f>IF(NFI_Expiration=1,IF($A311&lt;VLOOKUP(L$5,NFI,5,0),1,0)*Data_NFI_t[[#This Row],[Mosquito net]],0)</f>
        <v>0</v>
      </c>
      <c r="X311" s="131">
        <f>IF(NFI_Expiration=1,IF($A311&lt;VLOOKUP(M$5,NFI,5,0),1,0)*Data_NFI_t[[#This Row],[Tarpaulin]],0)</f>
        <v>0</v>
      </c>
      <c r="Y311" s="131">
        <f>IF(NFI_Expiration=1,IF($A311&lt;VLOOKUP(N$5,NFI,5,0),1,0)*Data_NFI_t[[#This Row],[Blanket]],0)</f>
        <v>0</v>
      </c>
      <c r="Z311" s="131">
        <f>IF(NFI_Expiration=1,IF($A311&lt;VLOOKUP(O$5,NFI,5,0),1,0)*Data_NFI_t[[#This Row],[Kitchen Set]],0)</f>
        <v>0</v>
      </c>
      <c r="AA311" s="131">
        <f>IF(NFI_Expiration=1,IF($A311&lt;VLOOKUP(P$5,NFI,5,0),1,0)*Data_NFI_t[[#This Row],[Complementary Kit]],0)</f>
        <v>0</v>
      </c>
      <c r="AB311" s="131">
        <f>IF(NFI_Expiration=1,IF($A311&lt;VLOOKUP(Q$5,NFI,5,0),1,0)*Data_NFI_t[[#This Row],[Plastic Bucket]],0)</f>
        <v>0</v>
      </c>
      <c r="AC311" s="131">
        <f>IF(NFI_Expiration=1,IF($A311&lt;VLOOKUP(R$5,NFI,5,0),1,0)*Data_NFI_t[[#This Row],[Jerry Can]],0)</f>
        <v>0</v>
      </c>
      <c r="AD311" s="150">
        <f>IF(NFI_Expiration=1,IF($A311&lt;VLOOKUP(S$5,NFI,5,0),1,0)*Data_NFI_t[[#This Row],[Plastic Mat]],0)*IF(Data_NFI_t[[#This Row],[Distribution Date]]&gt;"01-04-2014",1,2.5)</f>
        <v>0</v>
      </c>
      <c r="AE311" s="150" t="str">
        <f ca="1">IFERROR(OFFSET(Camp_List[P_Code],MATCH(Data_NFI_t[[#This Row],[Camp Name]],Camp_List[Camp Name],0)-1,0,1,1),"")</f>
        <v>MMR012CMP025</v>
      </c>
      <c r="AF311" s="714" t="str">
        <f ca="1">IFERROR(OFFSET(Camp_List[Status],MATCH(Data_NFI_t[[#This Row],[Camp Name]],Camp_List[Camp Name],0)-1,0,1,1),"")</f>
        <v>Open</v>
      </c>
    </row>
    <row r="312" spans="1:32" s="102" customFormat="1" ht="15" customHeight="1" x14ac:dyDescent="0.25">
      <c r="A312" s="265">
        <f t="shared" si="4"/>
        <v>37.5</v>
      </c>
      <c r="B312" s="265">
        <f>YEAR(Data_NFI_t[[#This Row],[Distribution Date]])</f>
        <v>2012</v>
      </c>
      <c r="C312" s="738">
        <v>41214</v>
      </c>
      <c r="D312" s="655" t="s">
        <v>288</v>
      </c>
      <c r="E312" s="654"/>
      <c r="F312" s="655" t="s">
        <v>7</v>
      </c>
      <c r="G312" s="31" t="s">
        <v>915</v>
      </c>
      <c r="H312" s="31" t="s">
        <v>38</v>
      </c>
      <c r="I312" s="31"/>
      <c r="J312" s="61"/>
      <c r="K312" s="61"/>
      <c r="L312" s="61"/>
      <c r="M312" s="61">
        <v>146</v>
      </c>
      <c r="N312" s="61"/>
      <c r="O312" s="61">
        <v>146</v>
      </c>
      <c r="P312" s="61"/>
      <c r="Q312" s="61"/>
      <c r="R312" s="708"/>
      <c r="S312" s="61"/>
      <c r="T312" s="150">
        <f>IF(NFI_Expiration=1,IF($A312&lt;VLOOKUP(I$5,NFI,5,0),1,0)*Data_NFI_t[[#This Row],[Hygiene Kit]],0)</f>
        <v>0</v>
      </c>
      <c r="U312" s="150">
        <f>IF(NFI_Expiration=1,IF($A312&lt;VLOOKUP(J$5,NFI,5,0),1,0)*Data_NFI_t[[#This Row],[NFI Core Kit]],0)</f>
        <v>0</v>
      </c>
      <c r="V312" s="131">
        <f>IF(NFI_Expiration=1,IF($A312&lt;VLOOKUP(K$5,NFI,5,0),1,0)*Data_NFI_t[[#This Row],[Sanitary Kit]],0)</f>
        <v>0</v>
      </c>
      <c r="W312" s="131">
        <f>IF(NFI_Expiration=1,IF($A312&lt;VLOOKUP(L$5,NFI,5,0),1,0)*Data_NFI_t[[#This Row],[Mosquito net]],0)</f>
        <v>0</v>
      </c>
      <c r="X312" s="131">
        <f>IF(NFI_Expiration=1,IF($A312&lt;VLOOKUP(M$5,NFI,5,0),1,0)*Data_NFI_t[[#This Row],[Tarpaulin]],0)</f>
        <v>0</v>
      </c>
      <c r="Y312" s="131">
        <f>IF(NFI_Expiration=1,IF($A312&lt;VLOOKUP(N$5,NFI,5,0),1,0)*Data_NFI_t[[#This Row],[Blanket]],0)</f>
        <v>0</v>
      </c>
      <c r="Z312" s="131">
        <f>IF(NFI_Expiration=1,IF($A312&lt;VLOOKUP(O$5,NFI,5,0),1,0)*Data_NFI_t[[#This Row],[Kitchen Set]],0)</f>
        <v>0</v>
      </c>
      <c r="AA312" s="131">
        <f>IF(NFI_Expiration=1,IF($A312&lt;VLOOKUP(P$5,NFI,5,0),1,0)*Data_NFI_t[[#This Row],[Complementary Kit]],0)</f>
        <v>0</v>
      </c>
      <c r="AB312" s="131">
        <f>IF(NFI_Expiration=1,IF($A312&lt;VLOOKUP(Q$5,NFI,5,0),1,0)*Data_NFI_t[[#This Row],[Plastic Bucket]],0)</f>
        <v>0</v>
      </c>
      <c r="AC312" s="131">
        <f>IF(NFI_Expiration=1,IF($A312&lt;VLOOKUP(R$5,NFI,5,0),1,0)*Data_NFI_t[[#This Row],[Jerry Can]],0)</f>
        <v>0</v>
      </c>
      <c r="AD312" s="150">
        <f>IF(NFI_Expiration=1,IF($A312&lt;VLOOKUP(S$5,NFI,5,0),1,0)*Data_NFI_t[[#This Row],[Plastic Mat]],0)*IF(Data_NFI_t[[#This Row],[Distribution Date]]&gt;"01-04-2014",1,2.5)</f>
        <v>0</v>
      </c>
      <c r="AE312" s="150" t="str">
        <f ca="1">IFERROR(OFFSET(Camp_List[P_Code],MATCH(Data_NFI_t[[#This Row],[Camp Name]],Camp_List[Camp Name],0)-1,0,1,1),"")</f>
        <v>MMR012CMP014</v>
      </c>
      <c r="AF312" s="714" t="str">
        <f ca="1">IFERROR(OFFSET(Camp_List[Status],MATCH(Data_NFI_t[[#This Row],[Camp Name]],Camp_List[Camp Name],0)-1,0,1,1),"")</f>
        <v>Open</v>
      </c>
    </row>
    <row r="313" spans="1:32" s="102" customFormat="1" ht="15" customHeight="1" x14ac:dyDescent="0.25">
      <c r="A313" s="265">
        <f t="shared" si="4"/>
        <v>37.533333333333331</v>
      </c>
      <c r="B313" s="265">
        <f>YEAR(Data_NFI_t[[#This Row],[Distribution Date]])</f>
        <v>2012</v>
      </c>
      <c r="C313" s="738">
        <v>41213</v>
      </c>
      <c r="D313" s="655" t="s">
        <v>288</v>
      </c>
      <c r="E313" s="654"/>
      <c r="F313" s="655" t="s">
        <v>7</v>
      </c>
      <c r="G313" s="31" t="s">
        <v>11</v>
      </c>
      <c r="H313" s="31" t="s">
        <v>30</v>
      </c>
      <c r="I313" s="31"/>
      <c r="J313" s="61"/>
      <c r="K313" s="61"/>
      <c r="L313" s="61"/>
      <c r="M313" s="61">
        <v>40</v>
      </c>
      <c r="N313" s="61"/>
      <c r="O313" s="61"/>
      <c r="P313" s="61"/>
      <c r="Q313" s="61"/>
      <c r="R313" s="708"/>
      <c r="S313" s="61"/>
      <c r="T313" s="150">
        <f>IF(NFI_Expiration=1,IF($A313&lt;VLOOKUP(I$5,NFI,5,0),1,0)*Data_NFI_t[[#This Row],[Hygiene Kit]],0)</f>
        <v>0</v>
      </c>
      <c r="U313" s="150">
        <f>IF(NFI_Expiration=1,IF($A313&lt;VLOOKUP(J$5,NFI,5,0),1,0)*Data_NFI_t[[#This Row],[NFI Core Kit]],0)</f>
        <v>0</v>
      </c>
      <c r="V313" s="131">
        <f>IF(NFI_Expiration=1,IF($A313&lt;VLOOKUP(K$5,NFI,5,0),1,0)*Data_NFI_t[[#This Row],[Sanitary Kit]],0)</f>
        <v>0</v>
      </c>
      <c r="W313" s="131">
        <f>IF(NFI_Expiration=1,IF($A313&lt;VLOOKUP(L$5,NFI,5,0),1,0)*Data_NFI_t[[#This Row],[Mosquito net]],0)</f>
        <v>0</v>
      </c>
      <c r="X313" s="131">
        <f>IF(NFI_Expiration=1,IF($A313&lt;VLOOKUP(M$5,NFI,5,0),1,0)*Data_NFI_t[[#This Row],[Tarpaulin]],0)</f>
        <v>0</v>
      </c>
      <c r="Y313" s="131">
        <f>IF(NFI_Expiration=1,IF($A313&lt;VLOOKUP(N$5,NFI,5,0),1,0)*Data_NFI_t[[#This Row],[Blanket]],0)</f>
        <v>0</v>
      </c>
      <c r="Z313" s="131">
        <f>IF(NFI_Expiration=1,IF($A313&lt;VLOOKUP(O$5,NFI,5,0),1,0)*Data_NFI_t[[#This Row],[Kitchen Set]],0)</f>
        <v>0</v>
      </c>
      <c r="AA313" s="131">
        <f>IF(NFI_Expiration=1,IF($A313&lt;VLOOKUP(P$5,NFI,5,0),1,0)*Data_NFI_t[[#This Row],[Complementary Kit]],0)</f>
        <v>0</v>
      </c>
      <c r="AB313" s="131">
        <f>IF(NFI_Expiration=1,IF($A313&lt;VLOOKUP(Q$5,NFI,5,0),1,0)*Data_NFI_t[[#This Row],[Plastic Bucket]],0)</f>
        <v>0</v>
      </c>
      <c r="AC313" s="131">
        <f>IF(NFI_Expiration=1,IF($A313&lt;VLOOKUP(R$5,NFI,5,0),1,0)*Data_NFI_t[[#This Row],[Jerry Can]],0)</f>
        <v>0</v>
      </c>
      <c r="AD313" s="150">
        <f>IF(NFI_Expiration=1,IF($A313&lt;VLOOKUP(S$5,NFI,5,0),1,0)*Data_NFI_t[[#This Row],[Plastic Mat]],0)*IF(Data_NFI_t[[#This Row],[Distribution Date]]&gt;"01-04-2014",1,2.5)</f>
        <v>0</v>
      </c>
      <c r="AE313" s="150" t="str">
        <f ca="1">IFERROR(OFFSET(Camp_List[P_Code],MATCH(Data_NFI_t[[#This Row],[Camp Name]],Camp_List[Camp Name],0)-1,0,1,1),"")</f>
        <v>MMR012CMP006</v>
      </c>
      <c r="AF313" s="714" t="str">
        <f ca="1">IFERROR(OFFSET(Camp_List[Status],MATCH(Data_NFI_t[[#This Row],[Camp Name]],Camp_List[Camp Name],0)-1,0,1,1),"")</f>
        <v>Open</v>
      </c>
    </row>
    <row r="314" spans="1:32" s="102" customFormat="1" ht="15" customHeight="1" x14ac:dyDescent="0.25">
      <c r="A314" s="265">
        <f t="shared" si="4"/>
        <v>37.533333333333331</v>
      </c>
      <c r="B314" s="265">
        <f>YEAR(Data_NFI_t[[#This Row],[Distribution Date]])</f>
        <v>2012</v>
      </c>
      <c r="C314" s="738">
        <v>41213</v>
      </c>
      <c r="D314" s="655" t="s">
        <v>288</v>
      </c>
      <c r="E314" s="654"/>
      <c r="F314" s="655" t="s">
        <v>7</v>
      </c>
      <c r="G314" s="31" t="s">
        <v>11</v>
      </c>
      <c r="H314" s="31" t="s">
        <v>28</v>
      </c>
      <c r="I314" s="31"/>
      <c r="J314" s="61"/>
      <c r="K314" s="61"/>
      <c r="L314" s="61"/>
      <c r="M314" s="61">
        <v>100</v>
      </c>
      <c r="N314" s="61"/>
      <c r="O314" s="61"/>
      <c r="P314" s="61"/>
      <c r="Q314" s="61"/>
      <c r="R314" s="708"/>
      <c r="S314" s="61"/>
      <c r="T314" s="150">
        <f>IF(NFI_Expiration=1,IF($A314&lt;VLOOKUP(I$5,NFI,5,0),1,0)*Data_NFI_t[[#This Row],[Hygiene Kit]],0)</f>
        <v>0</v>
      </c>
      <c r="U314" s="150">
        <f>IF(NFI_Expiration=1,IF($A314&lt;VLOOKUP(J$5,NFI,5,0),1,0)*Data_NFI_t[[#This Row],[NFI Core Kit]],0)</f>
        <v>0</v>
      </c>
      <c r="V314" s="131">
        <f>IF(NFI_Expiration=1,IF($A314&lt;VLOOKUP(K$5,NFI,5,0),1,0)*Data_NFI_t[[#This Row],[Sanitary Kit]],0)</f>
        <v>0</v>
      </c>
      <c r="W314" s="131">
        <f>IF(NFI_Expiration=1,IF($A314&lt;VLOOKUP(L$5,NFI,5,0),1,0)*Data_NFI_t[[#This Row],[Mosquito net]],0)</f>
        <v>0</v>
      </c>
      <c r="X314" s="131">
        <f>IF(NFI_Expiration=1,IF($A314&lt;VLOOKUP(M$5,NFI,5,0),1,0)*Data_NFI_t[[#This Row],[Tarpaulin]],0)</f>
        <v>0</v>
      </c>
      <c r="Y314" s="131">
        <f>IF(NFI_Expiration=1,IF($A314&lt;VLOOKUP(N$5,NFI,5,0),1,0)*Data_NFI_t[[#This Row],[Blanket]],0)</f>
        <v>0</v>
      </c>
      <c r="Z314" s="131">
        <f>IF(NFI_Expiration=1,IF($A314&lt;VLOOKUP(O$5,NFI,5,0),1,0)*Data_NFI_t[[#This Row],[Kitchen Set]],0)</f>
        <v>0</v>
      </c>
      <c r="AA314" s="131">
        <f>IF(NFI_Expiration=1,IF($A314&lt;VLOOKUP(P$5,NFI,5,0),1,0)*Data_NFI_t[[#This Row],[Complementary Kit]],0)</f>
        <v>0</v>
      </c>
      <c r="AB314" s="131">
        <f>IF(NFI_Expiration=1,IF($A314&lt;VLOOKUP(Q$5,NFI,5,0),1,0)*Data_NFI_t[[#This Row],[Plastic Bucket]],0)</f>
        <v>0</v>
      </c>
      <c r="AC314" s="131">
        <f>IF(NFI_Expiration=1,IF($A314&lt;VLOOKUP(R$5,NFI,5,0),1,0)*Data_NFI_t[[#This Row],[Jerry Can]],0)</f>
        <v>0</v>
      </c>
      <c r="AD314" s="150">
        <f>IF(NFI_Expiration=1,IF($A314&lt;VLOOKUP(S$5,NFI,5,0),1,0)*Data_NFI_t[[#This Row],[Plastic Mat]],0)*IF(Data_NFI_t[[#This Row],[Distribution Date]]&gt;"01-04-2014",1,2.5)</f>
        <v>0</v>
      </c>
      <c r="AE314" s="150" t="str">
        <f ca="1">IFERROR(OFFSET(Camp_List[P_Code],MATCH(Data_NFI_t[[#This Row],[Camp Name]],Camp_List[Camp Name],0)-1,0,1,1),"")</f>
        <v>MMR012CMP004</v>
      </c>
      <c r="AF314" s="714" t="str">
        <f ca="1">IFERROR(OFFSET(Camp_List[Status],MATCH(Data_NFI_t[[#This Row],[Camp Name]],Camp_List[Camp Name],0)-1,0,1,1),"")</f>
        <v>Close</v>
      </c>
    </row>
    <row r="315" spans="1:32" s="102" customFormat="1" ht="15" customHeight="1" x14ac:dyDescent="0.25">
      <c r="A315" s="265">
        <f t="shared" si="4"/>
        <v>37.533333333333331</v>
      </c>
      <c r="B315" s="265">
        <f>YEAR(Data_NFI_t[[#This Row],[Distribution Date]])</f>
        <v>2012</v>
      </c>
      <c r="C315" s="738">
        <v>41213</v>
      </c>
      <c r="D315" s="655" t="s">
        <v>288</v>
      </c>
      <c r="E315" s="654"/>
      <c r="F315" s="655" t="s">
        <v>7</v>
      </c>
      <c r="G315" s="31" t="s">
        <v>12</v>
      </c>
      <c r="H315" s="31" t="s">
        <v>33</v>
      </c>
      <c r="I315" s="31"/>
      <c r="J315" s="61"/>
      <c r="K315" s="61"/>
      <c r="L315" s="61"/>
      <c r="M315" s="61">
        <v>100</v>
      </c>
      <c r="N315" s="61"/>
      <c r="O315" s="61"/>
      <c r="P315" s="61"/>
      <c r="Q315" s="61"/>
      <c r="R315" s="708"/>
      <c r="S315" s="61"/>
      <c r="T315" s="150">
        <f>IF(NFI_Expiration=1,IF($A315&lt;VLOOKUP(I$5,NFI,5,0),1,0)*Data_NFI_t[[#This Row],[Hygiene Kit]],0)</f>
        <v>0</v>
      </c>
      <c r="U315" s="150">
        <f>IF(NFI_Expiration=1,IF($A315&lt;VLOOKUP(J$5,NFI,5,0),1,0)*Data_NFI_t[[#This Row],[NFI Core Kit]],0)</f>
        <v>0</v>
      </c>
      <c r="V315" s="131">
        <f>IF(NFI_Expiration=1,IF($A315&lt;VLOOKUP(K$5,NFI,5,0),1,0)*Data_NFI_t[[#This Row],[Sanitary Kit]],0)</f>
        <v>0</v>
      </c>
      <c r="W315" s="131">
        <f>IF(NFI_Expiration=1,IF($A315&lt;VLOOKUP(L$5,NFI,5,0),1,0)*Data_NFI_t[[#This Row],[Mosquito net]],0)</f>
        <v>0</v>
      </c>
      <c r="X315" s="131">
        <f>IF(NFI_Expiration=1,IF($A315&lt;VLOOKUP(M$5,NFI,5,0),1,0)*Data_NFI_t[[#This Row],[Tarpaulin]],0)</f>
        <v>0</v>
      </c>
      <c r="Y315" s="131">
        <f>IF(NFI_Expiration=1,IF($A315&lt;VLOOKUP(N$5,NFI,5,0),1,0)*Data_NFI_t[[#This Row],[Blanket]],0)</f>
        <v>0</v>
      </c>
      <c r="Z315" s="131">
        <f>IF(NFI_Expiration=1,IF($A315&lt;VLOOKUP(O$5,NFI,5,0),1,0)*Data_NFI_t[[#This Row],[Kitchen Set]],0)</f>
        <v>0</v>
      </c>
      <c r="AA315" s="131">
        <f>IF(NFI_Expiration=1,IF($A315&lt;VLOOKUP(P$5,NFI,5,0),1,0)*Data_NFI_t[[#This Row],[Complementary Kit]],0)</f>
        <v>0</v>
      </c>
      <c r="AB315" s="131">
        <f>IF(NFI_Expiration=1,IF($A315&lt;VLOOKUP(Q$5,NFI,5,0),1,0)*Data_NFI_t[[#This Row],[Plastic Bucket]],0)</f>
        <v>0</v>
      </c>
      <c r="AC315" s="131">
        <f>IF(NFI_Expiration=1,IF($A315&lt;VLOOKUP(R$5,NFI,5,0),1,0)*Data_NFI_t[[#This Row],[Jerry Can]],0)</f>
        <v>0</v>
      </c>
      <c r="AD315" s="150">
        <f>IF(NFI_Expiration=1,IF($A315&lt;VLOOKUP(S$5,NFI,5,0),1,0)*Data_NFI_t[[#This Row],[Plastic Mat]],0)*IF(Data_NFI_t[[#This Row],[Distribution Date]]&gt;"01-04-2014",1,2.5)</f>
        <v>0</v>
      </c>
      <c r="AE315" s="150" t="str">
        <f ca="1">IFERROR(OFFSET(Camp_List[P_Code],MATCH(Data_NFI_t[[#This Row],[Camp Name]],Camp_List[Camp Name],0)-1,0,1,1),"")</f>
        <v>MMR012CMP009</v>
      </c>
      <c r="AF315" s="714" t="str">
        <f ca="1">IFERROR(OFFSET(Camp_List[Status],MATCH(Data_NFI_t[[#This Row],[Camp Name]],Camp_List[Camp Name],0)-1,0,1,1),"")</f>
        <v>Open</v>
      </c>
    </row>
    <row r="316" spans="1:32" s="102" customFormat="1" ht="15" customHeight="1" x14ac:dyDescent="0.25">
      <c r="A316" s="265">
        <f t="shared" si="4"/>
        <v>38.333333333333336</v>
      </c>
      <c r="B316" s="265">
        <f>YEAR(Data_NFI_t[[#This Row],[Distribution Date]])</f>
        <v>2012</v>
      </c>
      <c r="C316" s="738">
        <v>41189</v>
      </c>
      <c r="D316" s="655" t="s">
        <v>288</v>
      </c>
      <c r="E316" s="654"/>
      <c r="F316" s="655" t="s">
        <v>7</v>
      </c>
      <c r="G316" s="31" t="s">
        <v>15</v>
      </c>
      <c r="H316" s="31" t="s">
        <v>48</v>
      </c>
      <c r="I316" s="31"/>
      <c r="J316" s="61"/>
      <c r="K316" s="61"/>
      <c r="L316" s="61"/>
      <c r="M316" s="61">
        <v>90</v>
      </c>
      <c r="N316" s="61"/>
      <c r="O316" s="61"/>
      <c r="P316" s="61"/>
      <c r="Q316" s="61"/>
      <c r="R316" s="708"/>
      <c r="S316" s="61"/>
      <c r="T316" s="150">
        <f>IF(NFI_Expiration=1,IF($A316&lt;VLOOKUP(I$5,NFI,5,0),1,0)*Data_NFI_t[[#This Row],[Hygiene Kit]],0)</f>
        <v>0</v>
      </c>
      <c r="U316" s="150">
        <f>IF(NFI_Expiration=1,IF($A316&lt;VLOOKUP(J$5,NFI,5,0),1,0)*Data_NFI_t[[#This Row],[NFI Core Kit]],0)</f>
        <v>0</v>
      </c>
      <c r="V316" s="131">
        <f>IF(NFI_Expiration=1,IF($A316&lt;VLOOKUP(K$5,NFI,5,0),1,0)*Data_NFI_t[[#This Row],[Sanitary Kit]],0)</f>
        <v>0</v>
      </c>
      <c r="W316" s="131">
        <f>IF(NFI_Expiration=1,IF($A316&lt;VLOOKUP(L$5,NFI,5,0),1,0)*Data_NFI_t[[#This Row],[Mosquito net]],0)</f>
        <v>0</v>
      </c>
      <c r="X316" s="131">
        <f>IF(NFI_Expiration=1,IF($A316&lt;VLOOKUP(M$5,NFI,5,0),1,0)*Data_NFI_t[[#This Row],[Tarpaulin]],0)</f>
        <v>0</v>
      </c>
      <c r="Y316" s="131">
        <f>IF(NFI_Expiration=1,IF($A316&lt;VLOOKUP(N$5,NFI,5,0),1,0)*Data_NFI_t[[#This Row],[Blanket]],0)</f>
        <v>0</v>
      </c>
      <c r="Z316" s="131">
        <f>IF(NFI_Expiration=1,IF($A316&lt;VLOOKUP(O$5,NFI,5,0),1,0)*Data_NFI_t[[#This Row],[Kitchen Set]],0)</f>
        <v>0</v>
      </c>
      <c r="AA316" s="131">
        <f>IF(NFI_Expiration=1,IF($A316&lt;VLOOKUP(P$5,NFI,5,0),1,0)*Data_NFI_t[[#This Row],[Complementary Kit]],0)</f>
        <v>0</v>
      </c>
      <c r="AB316" s="131">
        <f>IF(NFI_Expiration=1,IF($A316&lt;VLOOKUP(Q$5,NFI,5,0),1,0)*Data_NFI_t[[#This Row],[Plastic Bucket]],0)</f>
        <v>0</v>
      </c>
      <c r="AC316" s="131">
        <f>IF(NFI_Expiration=1,IF($A316&lt;VLOOKUP(R$5,NFI,5,0),1,0)*Data_NFI_t[[#This Row],[Jerry Can]],0)</f>
        <v>0</v>
      </c>
      <c r="AD316" s="150">
        <f>IF(NFI_Expiration=1,IF($A316&lt;VLOOKUP(S$5,NFI,5,0),1,0)*Data_NFI_t[[#This Row],[Plastic Mat]],0)*IF(Data_NFI_t[[#This Row],[Distribution Date]]&gt;"01-04-2014",1,2.5)</f>
        <v>0</v>
      </c>
      <c r="AE316" s="150" t="str">
        <f ca="1">IFERROR(OFFSET(Camp_List[P_Code],MATCH(Data_NFI_t[[#This Row],[Camp Name]],Camp_List[Camp Name],0)-1,0,1,1),"")</f>
        <v>MMR012CMP024</v>
      </c>
      <c r="AF316" s="714" t="str">
        <f ca="1">IFERROR(OFFSET(Camp_List[Status],MATCH(Data_NFI_t[[#This Row],[Camp Name]],Camp_List[Camp Name],0)-1,0,1,1),"")</f>
        <v>Open</v>
      </c>
    </row>
    <row r="317" spans="1:32" s="102" customFormat="1" ht="15" customHeight="1" x14ac:dyDescent="0.25">
      <c r="A317" s="265">
        <f t="shared" si="4"/>
        <v>38.333333333333336</v>
      </c>
      <c r="B317" s="265">
        <f>YEAR(Data_NFI_t[[#This Row],[Distribution Date]])</f>
        <v>2012</v>
      </c>
      <c r="C317" s="738">
        <v>41189</v>
      </c>
      <c r="D317" s="655" t="s">
        <v>288</v>
      </c>
      <c r="E317" s="654"/>
      <c r="F317" s="655" t="s">
        <v>7</v>
      </c>
      <c r="G317" s="31" t="s">
        <v>15</v>
      </c>
      <c r="H317" s="31" t="s">
        <v>294</v>
      </c>
      <c r="I317" s="31"/>
      <c r="J317" s="61"/>
      <c r="K317" s="61"/>
      <c r="L317" s="61"/>
      <c r="M317" s="61">
        <v>97</v>
      </c>
      <c r="N317" s="61"/>
      <c r="O317" s="61"/>
      <c r="P317" s="61"/>
      <c r="Q317" s="61"/>
      <c r="R317" s="708"/>
      <c r="S317" s="61"/>
      <c r="T317" s="150">
        <f>IF(NFI_Expiration=1,IF($A317&lt;VLOOKUP(I$5,NFI,5,0),1,0)*Data_NFI_t[[#This Row],[Hygiene Kit]],0)</f>
        <v>0</v>
      </c>
      <c r="U317" s="150">
        <f>IF(NFI_Expiration=1,IF($A317&lt;VLOOKUP(J$5,NFI,5,0),1,0)*Data_NFI_t[[#This Row],[NFI Core Kit]],0)</f>
        <v>0</v>
      </c>
      <c r="V317" s="131">
        <f>IF(NFI_Expiration=1,IF($A317&lt;VLOOKUP(K$5,NFI,5,0),1,0)*Data_NFI_t[[#This Row],[Sanitary Kit]],0)</f>
        <v>0</v>
      </c>
      <c r="W317" s="131">
        <f>IF(NFI_Expiration=1,IF($A317&lt;VLOOKUP(L$5,NFI,5,0),1,0)*Data_NFI_t[[#This Row],[Mosquito net]],0)</f>
        <v>0</v>
      </c>
      <c r="X317" s="131">
        <f>IF(NFI_Expiration=1,IF($A317&lt;VLOOKUP(M$5,NFI,5,0),1,0)*Data_NFI_t[[#This Row],[Tarpaulin]],0)</f>
        <v>0</v>
      </c>
      <c r="Y317" s="131">
        <f>IF(NFI_Expiration=1,IF($A317&lt;VLOOKUP(N$5,NFI,5,0),1,0)*Data_NFI_t[[#This Row],[Blanket]],0)</f>
        <v>0</v>
      </c>
      <c r="Z317" s="131">
        <f>IF(NFI_Expiration=1,IF($A317&lt;VLOOKUP(O$5,NFI,5,0),1,0)*Data_NFI_t[[#This Row],[Kitchen Set]],0)</f>
        <v>0</v>
      </c>
      <c r="AA317" s="131">
        <f>IF(NFI_Expiration=1,IF($A317&lt;VLOOKUP(P$5,NFI,5,0),1,0)*Data_NFI_t[[#This Row],[Complementary Kit]],0)</f>
        <v>0</v>
      </c>
      <c r="AB317" s="131">
        <f>IF(NFI_Expiration=1,IF($A317&lt;VLOOKUP(Q$5,NFI,5,0),1,0)*Data_NFI_t[[#This Row],[Plastic Bucket]],0)</f>
        <v>0</v>
      </c>
      <c r="AC317" s="131">
        <f>IF(NFI_Expiration=1,IF($A317&lt;VLOOKUP(R$5,NFI,5,0),1,0)*Data_NFI_t[[#This Row],[Jerry Can]],0)</f>
        <v>0</v>
      </c>
      <c r="AD317" s="150">
        <f>IF(NFI_Expiration=1,IF($A317&lt;VLOOKUP(S$5,NFI,5,0),1,0)*Data_NFI_t[[#This Row],[Plastic Mat]],0)*IF(Data_NFI_t[[#This Row],[Distribution Date]]&gt;"01-04-2014",1,2.5)</f>
        <v>0</v>
      </c>
      <c r="AE317" s="150" t="str">
        <f ca="1">IFERROR(OFFSET(Camp_List[P_Code],MATCH(Data_NFI_t[[#This Row],[Camp Name]],Camp_List[Camp Name],0)-1,0,1,1),"")</f>
        <v/>
      </c>
      <c r="AF317" s="714" t="str">
        <f ca="1">IFERROR(OFFSET(Camp_List[Status],MATCH(Data_NFI_t[[#This Row],[Camp Name]],Camp_List[Camp Name],0)-1,0,1,1),"")</f>
        <v/>
      </c>
    </row>
    <row r="318" spans="1:32" s="102" customFormat="1" ht="15" customHeight="1" x14ac:dyDescent="0.25">
      <c r="A318" s="265">
        <f t="shared" si="4"/>
        <v>38.366666666666667</v>
      </c>
      <c r="B318" s="265">
        <f>YEAR(Data_NFI_t[[#This Row],[Distribution Date]])</f>
        <v>2012</v>
      </c>
      <c r="C318" s="738">
        <v>41188</v>
      </c>
      <c r="D318" s="655" t="s">
        <v>288</v>
      </c>
      <c r="E318" s="654"/>
      <c r="F318" s="655" t="s">
        <v>7</v>
      </c>
      <c r="G318" s="31" t="s">
        <v>19</v>
      </c>
      <c r="H318" s="31" t="s">
        <v>277</v>
      </c>
      <c r="I318" s="31"/>
      <c r="J318" s="61"/>
      <c r="K318" s="61"/>
      <c r="L318" s="61"/>
      <c r="M318" s="61">
        <v>100</v>
      </c>
      <c r="N318" s="61"/>
      <c r="O318" s="61"/>
      <c r="P318" s="61"/>
      <c r="Q318" s="61"/>
      <c r="R318" s="708"/>
      <c r="S318" s="61"/>
      <c r="T318" s="150">
        <f>IF(NFI_Expiration=1,IF($A318&lt;VLOOKUP(I$5,NFI,5,0),1,0)*Data_NFI_t[[#This Row],[Hygiene Kit]],0)</f>
        <v>0</v>
      </c>
      <c r="U318" s="150">
        <f>IF(NFI_Expiration=1,IF($A318&lt;VLOOKUP(J$5,NFI,5,0),1,0)*Data_NFI_t[[#This Row],[NFI Core Kit]],0)</f>
        <v>0</v>
      </c>
      <c r="V318" s="131">
        <f>IF(NFI_Expiration=1,IF($A318&lt;VLOOKUP(K$5,NFI,5,0),1,0)*Data_NFI_t[[#This Row],[Sanitary Kit]],0)</f>
        <v>0</v>
      </c>
      <c r="W318" s="131">
        <f>IF(NFI_Expiration=1,IF($A318&lt;VLOOKUP(L$5,NFI,5,0),1,0)*Data_NFI_t[[#This Row],[Mosquito net]],0)</f>
        <v>0</v>
      </c>
      <c r="X318" s="131">
        <f>IF(NFI_Expiration=1,IF($A318&lt;VLOOKUP(M$5,NFI,5,0),1,0)*Data_NFI_t[[#This Row],[Tarpaulin]],0)</f>
        <v>0</v>
      </c>
      <c r="Y318" s="131">
        <f>IF(NFI_Expiration=1,IF($A318&lt;VLOOKUP(N$5,NFI,5,0),1,0)*Data_NFI_t[[#This Row],[Blanket]],0)</f>
        <v>0</v>
      </c>
      <c r="Z318" s="131">
        <f>IF(NFI_Expiration=1,IF($A318&lt;VLOOKUP(O$5,NFI,5,0),1,0)*Data_NFI_t[[#This Row],[Kitchen Set]],0)</f>
        <v>0</v>
      </c>
      <c r="AA318" s="131">
        <f>IF(NFI_Expiration=1,IF($A318&lt;VLOOKUP(P$5,NFI,5,0),1,0)*Data_NFI_t[[#This Row],[Complementary Kit]],0)</f>
        <v>0</v>
      </c>
      <c r="AB318" s="131">
        <f>IF(NFI_Expiration=1,IF($A318&lt;VLOOKUP(Q$5,NFI,5,0),1,0)*Data_NFI_t[[#This Row],[Plastic Bucket]],0)</f>
        <v>0</v>
      </c>
      <c r="AC318" s="131">
        <f>IF(NFI_Expiration=1,IF($A318&lt;VLOOKUP(R$5,NFI,5,0),1,0)*Data_NFI_t[[#This Row],[Jerry Can]],0)</f>
        <v>0</v>
      </c>
      <c r="AD318" s="150">
        <f>IF(NFI_Expiration=1,IF($A318&lt;VLOOKUP(S$5,NFI,5,0),1,0)*Data_NFI_t[[#This Row],[Plastic Mat]],0)*IF(Data_NFI_t[[#This Row],[Distribution Date]]&gt;"01-04-2014",1,2.5)</f>
        <v>0</v>
      </c>
      <c r="AE318" s="150" t="str">
        <f ca="1">IFERROR(OFFSET(Camp_List[P_Code],MATCH(Data_NFI_t[[#This Row],[Camp Name]],Camp_List[Camp Name],0)-1,0,1,1),"")</f>
        <v/>
      </c>
      <c r="AF318" s="714" t="str">
        <f ca="1">IFERROR(OFFSET(Camp_List[Status],MATCH(Data_NFI_t[[#This Row],[Camp Name]],Camp_List[Camp Name],0)-1,0,1,1),"")</f>
        <v/>
      </c>
    </row>
    <row r="319" spans="1:32" s="102" customFormat="1" ht="15" customHeight="1" x14ac:dyDescent="0.25">
      <c r="A319" s="265">
        <f t="shared" si="4"/>
        <v>39.333333333333336</v>
      </c>
      <c r="B319" s="265">
        <f>YEAR(Data_NFI_t[[#This Row],[Distribution Date]])</f>
        <v>2012</v>
      </c>
      <c r="C319" s="738">
        <v>41159</v>
      </c>
      <c r="D319" s="655" t="s">
        <v>288</v>
      </c>
      <c r="E319" s="654"/>
      <c r="F319" s="655" t="s">
        <v>7</v>
      </c>
      <c r="G319" s="31" t="s">
        <v>19</v>
      </c>
      <c r="H319" s="31" t="s">
        <v>62</v>
      </c>
      <c r="I319" s="31"/>
      <c r="J319" s="61"/>
      <c r="K319" s="61"/>
      <c r="L319" s="61"/>
      <c r="M319" s="61">
        <v>55</v>
      </c>
      <c r="N319" s="61"/>
      <c r="O319" s="61"/>
      <c r="P319" s="61"/>
      <c r="Q319" s="61"/>
      <c r="R319" s="708"/>
      <c r="S319" s="61"/>
      <c r="T319" s="150">
        <f>IF(NFI_Expiration=1,IF($A319&lt;VLOOKUP(I$5,NFI,5,0),1,0)*Data_NFI_t[[#This Row],[Hygiene Kit]],0)</f>
        <v>0</v>
      </c>
      <c r="U319" s="150">
        <f>IF(NFI_Expiration=1,IF($A319&lt;VLOOKUP(J$5,NFI,5,0),1,0)*Data_NFI_t[[#This Row],[NFI Core Kit]],0)</f>
        <v>0</v>
      </c>
      <c r="V319" s="131">
        <f>IF(NFI_Expiration=1,IF($A319&lt;VLOOKUP(K$5,NFI,5,0),1,0)*Data_NFI_t[[#This Row],[Sanitary Kit]],0)</f>
        <v>0</v>
      </c>
      <c r="W319" s="131">
        <f>IF(NFI_Expiration=1,IF($A319&lt;VLOOKUP(L$5,NFI,5,0),1,0)*Data_NFI_t[[#This Row],[Mosquito net]],0)</f>
        <v>0</v>
      </c>
      <c r="X319" s="131">
        <f>IF(NFI_Expiration=1,IF($A319&lt;VLOOKUP(M$5,NFI,5,0),1,0)*Data_NFI_t[[#This Row],[Tarpaulin]],0)</f>
        <v>0</v>
      </c>
      <c r="Y319" s="131">
        <f>IF(NFI_Expiration=1,IF($A319&lt;VLOOKUP(N$5,NFI,5,0),1,0)*Data_NFI_t[[#This Row],[Blanket]],0)</f>
        <v>0</v>
      </c>
      <c r="Z319" s="131">
        <f>IF(NFI_Expiration=1,IF($A319&lt;VLOOKUP(O$5,NFI,5,0),1,0)*Data_NFI_t[[#This Row],[Kitchen Set]],0)</f>
        <v>0</v>
      </c>
      <c r="AA319" s="131">
        <f>IF(NFI_Expiration=1,IF($A319&lt;VLOOKUP(P$5,NFI,5,0),1,0)*Data_NFI_t[[#This Row],[Complementary Kit]],0)</f>
        <v>0</v>
      </c>
      <c r="AB319" s="131">
        <f>IF(NFI_Expiration=1,IF($A319&lt;VLOOKUP(Q$5,NFI,5,0),1,0)*Data_NFI_t[[#This Row],[Plastic Bucket]],0)</f>
        <v>0</v>
      </c>
      <c r="AC319" s="131">
        <f>IF(NFI_Expiration=1,IF($A319&lt;VLOOKUP(R$5,NFI,5,0),1,0)*Data_NFI_t[[#This Row],[Jerry Can]],0)</f>
        <v>0</v>
      </c>
      <c r="AD319" s="150">
        <f>IF(NFI_Expiration=1,IF($A319&lt;VLOOKUP(S$5,NFI,5,0),1,0)*Data_NFI_t[[#This Row],[Plastic Mat]],0)*IF(Data_NFI_t[[#This Row],[Distribution Date]]&gt;"01-04-2014",1,2.5)</f>
        <v>0</v>
      </c>
      <c r="AE319" s="150" t="str">
        <f ca="1">IFERROR(OFFSET(Camp_List[P_Code],MATCH(Data_NFI_t[[#This Row],[Camp Name]],Camp_List[Camp Name],0)-1,0,1,1),"")</f>
        <v>MMR012CMP040</v>
      </c>
      <c r="AF319" s="714" t="str">
        <f ca="1">IFERROR(OFFSET(Camp_List[Status],MATCH(Data_NFI_t[[#This Row],[Camp Name]],Camp_List[Camp Name],0)-1,0,1,1),"")</f>
        <v>Close</v>
      </c>
    </row>
    <row r="320" spans="1:32" s="102" customFormat="1" ht="15" customHeight="1" x14ac:dyDescent="0.25">
      <c r="A320" s="265">
        <f t="shared" si="4"/>
        <v>39.4</v>
      </c>
      <c r="B320" s="265">
        <f>YEAR(Data_NFI_t[[#This Row],[Distribution Date]])</f>
        <v>2012</v>
      </c>
      <c r="C320" s="738">
        <v>41157</v>
      </c>
      <c r="D320" s="655" t="s">
        <v>288</v>
      </c>
      <c r="E320" s="654"/>
      <c r="F320" s="655" t="s">
        <v>7</v>
      </c>
      <c r="G320" s="31" t="s">
        <v>19</v>
      </c>
      <c r="H320" s="31" t="s">
        <v>62</v>
      </c>
      <c r="I320" s="31"/>
      <c r="J320" s="61"/>
      <c r="K320" s="61"/>
      <c r="L320" s="61"/>
      <c r="M320" s="61"/>
      <c r="N320" s="61">
        <v>65</v>
      </c>
      <c r="O320" s="61"/>
      <c r="P320" s="61"/>
      <c r="Q320" s="61"/>
      <c r="R320" s="708"/>
      <c r="S320" s="61"/>
      <c r="T320" s="150">
        <f>IF(NFI_Expiration=1,IF($A320&lt;VLOOKUP(I$5,NFI,5,0),1,0)*Data_NFI_t[[#This Row],[Hygiene Kit]],0)</f>
        <v>0</v>
      </c>
      <c r="U320" s="150">
        <f>IF(NFI_Expiration=1,IF($A320&lt;VLOOKUP(J$5,NFI,5,0),1,0)*Data_NFI_t[[#This Row],[NFI Core Kit]],0)</f>
        <v>0</v>
      </c>
      <c r="V320" s="131">
        <f>IF(NFI_Expiration=1,IF($A320&lt;VLOOKUP(K$5,NFI,5,0),1,0)*Data_NFI_t[[#This Row],[Sanitary Kit]],0)</f>
        <v>0</v>
      </c>
      <c r="W320" s="131">
        <f>IF(NFI_Expiration=1,IF($A320&lt;VLOOKUP(L$5,NFI,5,0),1,0)*Data_NFI_t[[#This Row],[Mosquito net]],0)</f>
        <v>0</v>
      </c>
      <c r="X320" s="131">
        <f>IF(NFI_Expiration=1,IF($A320&lt;VLOOKUP(M$5,NFI,5,0),1,0)*Data_NFI_t[[#This Row],[Tarpaulin]],0)</f>
        <v>0</v>
      </c>
      <c r="Y320" s="131">
        <f>IF(NFI_Expiration=1,IF($A320&lt;VLOOKUP(N$5,NFI,5,0),1,0)*Data_NFI_t[[#This Row],[Blanket]],0)</f>
        <v>0</v>
      </c>
      <c r="Z320" s="131">
        <f>IF(NFI_Expiration=1,IF($A320&lt;VLOOKUP(O$5,NFI,5,0),1,0)*Data_NFI_t[[#This Row],[Kitchen Set]],0)</f>
        <v>0</v>
      </c>
      <c r="AA320" s="131">
        <f>IF(NFI_Expiration=1,IF($A320&lt;VLOOKUP(P$5,NFI,5,0),1,0)*Data_NFI_t[[#This Row],[Complementary Kit]],0)</f>
        <v>0</v>
      </c>
      <c r="AB320" s="131">
        <f>IF(NFI_Expiration=1,IF($A320&lt;VLOOKUP(Q$5,NFI,5,0),1,0)*Data_NFI_t[[#This Row],[Plastic Bucket]],0)</f>
        <v>0</v>
      </c>
      <c r="AC320" s="131">
        <f>IF(NFI_Expiration=1,IF($A320&lt;VLOOKUP(R$5,NFI,5,0),1,0)*Data_NFI_t[[#This Row],[Jerry Can]],0)</f>
        <v>0</v>
      </c>
      <c r="AD320" s="150">
        <f>IF(NFI_Expiration=1,IF($A320&lt;VLOOKUP(S$5,NFI,5,0),1,0)*Data_NFI_t[[#This Row],[Plastic Mat]],0)*IF(Data_NFI_t[[#This Row],[Distribution Date]]&gt;"01-04-2014",1,2.5)</f>
        <v>0</v>
      </c>
      <c r="AE320" s="150" t="str">
        <f ca="1">IFERROR(OFFSET(Camp_List[P_Code],MATCH(Data_NFI_t[[#This Row],[Camp Name]],Camp_List[Camp Name],0)-1,0,1,1),"")</f>
        <v>MMR012CMP040</v>
      </c>
      <c r="AF320" s="714" t="str">
        <f ca="1">IFERROR(OFFSET(Camp_List[Status],MATCH(Data_NFI_t[[#This Row],[Camp Name]],Camp_List[Camp Name],0)-1,0,1,1),"")</f>
        <v>Close</v>
      </c>
    </row>
    <row r="321" spans="1:32" s="102" customFormat="1" ht="15" customHeight="1" x14ac:dyDescent="0.25">
      <c r="A321" s="265">
        <f t="shared" si="4"/>
        <v>39.533333333333331</v>
      </c>
      <c r="B321" s="265">
        <f>YEAR(Data_NFI_t[[#This Row],[Distribution Date]])</f>
        <v>2012</v>
      </c>
      <c r="C321" s="738">
        <v>41153</v>
      </c>
      <c r="D321" s="655" t="s">
        <v>292</v>
      </c>
      <c r="E321" s="654" t="s">
        <v>288</v>
      </c>
      <c r="F321" s="655" t="s">
        <v>7</v>
      </c>
      <c r="G321" s="31" t="s">
        <v>19</v>
      </c>
      <c r="H321" s="31" t="s">
        <v>65</v>
      </c>
      <c r="I321" s="31"/>
      <c r="J321" s="61"/>
      <c r="K321" s="61"/>
      <c r="L321" s="61"/>
      <c r="M321" s="61"/>
      <c r="N321" s="61">
        <v>60</v>
      </c>
      <c r="O321" s="61"/>
      <c r="P321" s="61"/>
      <c r="Q321" s="61"/>
      <c r="R321" s="708"/>
      <c r="S321" s="61"/>
      <c r="T321" s="150">
        <f>IF(NFI_Expiration=1,IF($A321&lt;VLOOKUP(I$5,NFI,5,0),1,0)*Data_NFI_t[[#This Row],[Hygiene Kit]],0)</f>
        <v>0</v>
      </c>
      <c r="U321" s="150">
        <f>IF(NFI_Expiration=1,IF($A321&lt;VLOOKUP(J$5,NFI,5,0),1,0)*Data_NFI_t[[#This Row],[NFI Core Kit]],0)</f>
        <v>0</v>
      </c>
      <c r="V321" s="131">
        <f>IF(NFI_Expiration=1,IF($A321&lt;VLOOKUP(K$5,NFI,5,0),1,0)*Data_NFI_t[[#This Row],[Sanitary Kit]],0)</f>
        <v>0</v>
      </c>
      <c r="W321" s="131">
        <f>IF(NFI_Expiration=1,IF($A321&lt;VLOOKUP(L$5,NFI,5,0),1,0)*Data_NFI_t[[#This Row],[Mosquito net]],0)</f>
        <v>0</v>
      </c>
      <c r="X321" s="131">
        <f>IF(NFI_Expiration=1,IF($A321&lt;VLOOKUP(M$5,NFI,5,0),1,0)*Data_NFI_t[[#This Row],[Tarpaulin]],0)</f>
        <v>0</v>
      </c>
      <c r="Y321" s="131">
        <f>IF(NFI_Expiration=1,IF($A321&lt;VLOOKUP(N$5,NFI,5,0),1,0)*Data_NFI_t[[#This Row],[Blanket]],0)</f>
        <v>0</v>
      </c>
      <c r="Z321" s="131">
        <f>IF(NFI_Expiration=1,IF($A321&lt;VLOOKUP(O$5,NFI,5,0),1,0)*Data_NFI_t[[#This Row],[Kitchen Set]],0)</f>
        <v>0</v>
      </c>
      <c r="AA321" s="131">
        <f>IF(NFI_Expiration=1,IF($A321&lt;VLOOKUP(P$5,NFI,5,0),1,0)*Data_NFI_t[[#This Row],[Complementary Kit]],0)</f>
        <v>0</v>
      </c>
      <c r="AB321" s="131">
        <f>IF(NFI_Expiration=1,IF($A321&lt;VLOOKUP(Q$5,NFI,5,0),1,0)*Data_NFI_t[[#This Row],[Plastic Bucket]],0)</f>
        <v>0</v>
      </c>
      <c r="AC321" s="131">
        <f>IF(NFI_Expiration=1,IF($A321&lt;VLOOKUP(R$5,NFI,5,0),1,0)*Data_NFI_t[[#This Row],[Jerry Can]],0)</f>
        <v>0</v>
      </c>
      <c r="AD321" s="150">
        <f>IF(NFI_Expiration=1,IF($A321&lt;VLOOKUP(S$5,NFI,5,0),1,0)*Data_NFI_t[[#This Row],[Plastic Mat]],0)*IF(Data_NFI_t[[#This Row],[Distribution Date]]&gt;"01-04-2014",1,2.5)</f>
        <v>0</v>
      </c>
      <c r="AE321" s="150" t="str">
        <f ca="1">IFERROR(OFFSET(Camp_List[P_Code],MATCH(Data_NFI_t[[#This Row],[Camp Name]],Camp_List[Camp Name],0)-1,0,1,1),"")</f>
        <v>MMR012CMP043</v>
      </c>
      <c r="AF321" s="714" t="str">
        <f ca="1">IFERROR(OFFSET(Camp_List[Status],MATCH(Data_NFI_t[[#This Row],[Camp Name]],Camp_List[Camp Name],0)-1,0,1,1),"")</f>
        <v>Close</v>
      </c>
    </row>
    <row r="322" spans="1:32" s="102" customFormat="1" ht="15" customHeight="1" x14ac:dyDescent="0.25">
      <c r="A322" s="265">
        <f t="shared" si="4"/>
        <v>39.766666666666666</v>
      </c>
      <c r="B322" s="265">
        <f>YEAR(Data_NFI_t[[#This Row],[Distribution Date]])</f>
        <v>2012</v>
      </c>
      <c r="C322" s="738">
        <v>41146</v>
      </c>
      <c r="D322" s="655" t="s">
        <v>288</v>
      </c>
      <c r="E322" s="654"/>
      <c r="F322" s="655" t="s">
        <v>7</v>
      </c>
      <c r="G322" s="31" t="s">
        <v>15</v>
      </c>
      <c r="H322" s="31" t="s">
        <v>51</v>
      </c>
      <c r="I322" s="31"/>
      <c r="J322" s="61"/>
      <c r="K322" s="61"/>
      <c r="L322" s="61"/>
      <c r="M322" s="61">
        <v>114</v>
      </c>
      <c r="N322" s="61"/>
      <c r="O322" s="61"/>
      <c r="P322" s="61"/>
      <c r="Q322" s="61"/>
      <c r="R322" s="708"/>
      <c r="S322" s="61"/>
      <c r="T322" s="150">
        <f>IF(NFI_Expiration=1,IF($A322&lt;VLOOKUP(I$5,NFI,5,0),1,0)*Data_NFI_t[[#This Row],[Hygiene Kit]],0)</f>
        <v>0</v>
      </c>
      <c r="U322" s="150">
        <f>IF(NFI_Expiration=1,IF($A322&lt;VLOOKUP(J$5,NFI,5,0),1,0)*Data_NFI_t[[#This Row],[NFI Core Kit]],0)</f>
        <v>0</v>
      </c>
      <c r="V322" s="131">
        <f>IF(NFI_Expiration=1,IF($A322&lt;VLOOKUP(K$5,NFI,5,0),1,0)*Data_NFI_t[[#This Row],[Sanitary Kit]],0)</f>
        <v>0</v>
      </c>
      <c r="W322" s="131">
        <f>IF(NFI_Expiration=1,IF($A322&lt;VLOOKUP(L$5,NFI,5,0),1,0)*Data_NFI_t[[#This Row],[Mosquito net]],0)</f>
        <v>0</v>
      </c>
      <c r="X322" s="131">
        <f>IF(NFI_Expiration=1,IF($A322&lt;VLOOKUP(M$5,NFI,5,0),1,0)*Data_NFI_t[[#This Row],[Tarpaulin]],0)</f>
        <v>0</v>
      </c>
      <c r="Y322" s="131">
        <f>IF(NFI_Expiration=1,IF($A322&lt;VLOOKUP(N$5,NFI,5,0),1,0)*Data_NFI_t[[#This Row],[Blanket]],0)</f>
        <v>0</v>
      </c>
      <c r="Z322" s="131">
        <f>IF(NFI_Expiration=1,IF($A322&lt;VLOOKUP(O$5,NFI,5,0),1,0)*Data_NFI_t[[#This Row],[Kitchen Set]],0)</f>
        <v>0</v>
      </c>
      <c r="AA322" s="131">
        <f>IF(NFI_Expiration=1,IF($A322&lt;VLOOKUP(P$5,NFI,5,0),1,0)*Data_NFI_t[[#This Row],[Complementary Kit]],0)</f>
        <v>0</v>
      </c>
      <c r="AB322" s="131">
        <f>IF(NFI_Expiration=1,IF($A322&lt;VLOOKUP(Q$5,NFI,5,0),1,0)*Data_NFI_t[[#This Row],[Plastic Bucket]],0)</f>
        <v>0</v>
      </c>
      <c r="AC322" s="131">
        <f>IF(NFI_Expiration=1,IF($A322&lt;VLOOKUP(R$5,NFI,5,0),1,0)*Data_NFI_t[[#This Row],[Jerry Can]],0)</f>
        <v>0</v>
      </c>
      <c r="AD322" s="150">
        <f>IF(NFI_Expiration=1,IF($A322&lt;VLOOKUP(S$5,NFI,5,0),1,0)*Data_NFI_t[[#This Row],[Plastic Mat]],0)*IF(Data_NFI_t[[#This Row],[Distribution Date]]&gt;"01-04-2014",1,2.5)</f>
        <v>0</v>
      </c>
      <c r="AE322" s="150" t="str">
        <f ca="1">IFERROR(OFFSET(Camp_List[P_Code],MATCH(Data_NFI_t[[#This Row],[Camp Name]],Camp_List[Camp Name],0)-1,0,1,1),"")</f>
        <v>MMR012CMP027</v>
      </c>
      <c r="AF322" s="714" t="str">
        <f ca="1">IFERROR(OFFSET(Camp_List[Status],MATCH(Data_NFI_t[[#This Row],[Camp Name]],Camp_List[Camp Name],0)-1,0,1,1),"")</f>
        <v>Open</v>
      </c>
    </row>
    <row r="323" spans="1:32" s="102" customFormat="1" ht="15" customHeight="1" x14ac:dyDescent="0.25">
      <c r="A323" s="265">
        <f t="shared" si="4"/>
        <v>39.766666666666666</v>
      </c>
      <c r="B323" s="265">
        <f>YEAR(Data_NFI_t[[#This Row],[Distribution Date]])</f>
        <v>2012</v>
      </c>
      <c r="C323" s="738">
        <v>41146</v>
      </c>
      <c r="D323" s="655" t="s">
        <v>288</v>
      </c>
      <c r="E323" s="654"/>
      <c r="F323" s="655" t="s">
        <v>7</v>
      </c>
      <c r="G323" s="31" t="s">
        <v>15</v>
      </c>
      <c r="H323" s="31" t="s">
        <v>50</v>
      </c>
      <c r="I323" s="31"/>
      <c r="J323" s="61"/>
      <c r="K323" s="61"/>
      <c r="L323" s="61"/>
      <c r="M323" s="61">
        <v>230</v>
      </c>
      <c r="N323" s="61"/>
      <c r="O323" s="61"/>
      <c r="P323" s="61">
        <v>230</v>
      </c>
      <c r="Q323" s="61"/>
      <c r="R323" s="708"/>
      <c r="S323" s="61"/>
      <c r="T323" s="150">
        <f>IF(NFI_Expiration=1,IF($A323&lt;VLOOKUP(I$5,NFI,5,0),1,0)*Data_NFI_t[[#This Row],[Hygiene Kit]],0)</f>
        <v>0</v>
      </c>
      <c r="U323" s="150">
        <f>IF(NFI_Expiration=1,IF($A323&lt;VLOOKUP(J$5,NFI,5,0),1,0)*Data_NFI_t[[#This Row],[NFI Core Kit]],0)</f>
        <v>0</v>
      </c>
      <c r="V323" s="131">
        <f>IF(NFI_Expiration=1,IF($A323&lt;VLOOKUP(K$5,NFI,5,0),1,0)*Data_NFI_t[[#This Row],[Sanitary Kit]],0)</f>
        <v>0</v>
      </c>
      <c r="W323" s="131">
        <f>IF(NFI_Expiration=1,IF($A323&lt;VLOOKUP(L$5,NFI,5,0),1,0)*Data_NFI_t[[#This Row],[Mosquito net]],0)</f>
        <v>0</v>
      </c>
      <c r="X323" s="131">
        <f>IF(NFI_Expiration=1,IF($A323&lt;VLOOKUP(M$5,NFI,5,0),1,0)*Data_NFI_t[[#This Row],[Tarpaulin]],0)</f>
        <v>0</v>
      </c>
      <c r="Y323" s="131">
        <f>IF(NFI_Expiration=1,IF($A323&lt;VLOOKUP(N$5,NFI,5,0),1,0)*Data_NFI_t[[#This Row],[Blanket]],0)</f>
        <v>0</v>
      </c>
      <c r="Z323" s="131">
        <f>IF(NFI_Expiration=1,IF($A323&lt;VLOOKUP(O$5,NFI,5,0),1,0)*Data_NFI_t[[#This Row],[Kitchen Set]],0)</f>
        <v>0</v>
      </c>
      <c r="AA323" s="131">
        <f>IF(NFI_Expiration=1,IF($A323&lt;VLOOKUP(P$5,NFI,5,0),1,0)*Data_NFI_t[[#This Row],[Complementary Kit]],0)</f>
        <v>0</v>
      </c>
      <c r="AB323" s="131">
        <f>IF(NFI_Expiration=1,IF($A323&lt;VLOOKUP(Q$5,NFI,5,0),1,0)*Data_NFI_t[[#This Row],[Plastic Bucket]],0)</f>
        <v>0</v>
      </c>
      <c r="AC323" s="131">
        <f>IF(NFI_Expiration=1,IF($A323&lt;VLOOKUP(R$5,NFI,5,0),1,0)*Data_NFI_t[[#This Row],[Jerry Can]],0)</f>
        <v>0</v>
      </c>
      <c r="AD323" s="150">
        <f>IF(NFI_Expiration=1,IF($A323&lt;VLOOKUP(S$5,NFI,5,0),1,0)*Data_NFI_t[[#This Row],[Plastic Mat]],0)*IF(Data_NFI_t[[#This Row],[Distribution Date]]&gt;"01-04-2014",1,2.5)</f>
        <v>0</v>
      </c>
      <c r="AE323" s="150" t="str">
        <f ca="1">IFERROR(OFFSET(Camp_List[P_Code],MATCH(Data_NFI_t[[#This Row],[Camp Name]],Camp_List[Camp Name],0)-1,0,1,1),"")</f>
        <v>MMR012CMP026</v>
      </c>
      <c r="AF323" s="714" t="str">
        <f ca="1">IFERROR(OFFSET(Camp_List[Status],MATCH(Data_NFI_t[[#This Row],[Camp Name]],Camp_List[Camp Name],0)-1,0,1,1),"")</f>
        <v>Open</v>
      </c>
    </row>
    <row r="324" spans="1:32" s="102" customFormat="1" ht="15" customHeight="1" x14ac:dyDescent="0.25">
      <c r="A324" s="265">
        <f t="shared" si="4"/>
        <v>39.766666666666666</v>
      </c>
      <c r="B324" s="265">
        <f>YEAR(Data_NFI_t[[#This Row],[Distribution Date]])</f>
        <v>2012</v>
      </c>
      <c r="C324" s="738">
        <v>41146</v>
      </c>
      <c r="D324" s="655" t="s">
        <v>288</v>
      </c>
      <c r="E324" s="654"/>
      <c r="F324" s="655" t="s">
        <v>7</v>
      </c>
      <c r="G324" s="31" t="s">
        <v>15</v>
      </c>
      <c r="H324" s="31" t="s">
        <v>53</v>
      </c>
      <c r="I324" s="31"/>
      <c r="J324" s="61"/>
      <c r="K324" s="61"/>
      <c r="L324" s="61"/>
      <c r="M324" s="61">
        <v>144</v>
      </c>
      <c r="N324" s="61">
        <v>290</v>
      </c>
      <c r="O324" s="61">
        <v>40</v>
      </c>
      <c r="P324" s="61"/>
      <c r="Q324" s="61"/>
      <c r="R324" s="708"/>
      <c r="S324" s="61"/>
      <c r="T324" s="150">
        <f>IF(NFI_Expiration=1,IF($A324&lt;VLOOKUP(I$5,NFI,5,0),1,0)*Data_NFI_t[[#This Row],[Hygiene Kit]],0)</f>
        <v>0</v>
      </c>
      <c r="U324" s="150">
        <f>IF(NFI_Expiration=1,IF($A324&lt;VLOOKUP(J$5,NFI,5,0),1,0)*Data_NFI_t[[#This Row],[NFI Core Kit]],0)</f>
        <v>0</v>
      </c>
      <c r="V324" s="131">
        <f>IF(NFI_Expiration=1,IF($A324&lt;VLOOKUP(K$5,NFI,5,0),1,0)*Data_NFI_t[[#This Row],[Sanitary Kit]],0)</f>
        <v>0</v>
      </c>
      <c r="W324" s="131">
        <f>IF(NFI_Expiration=1,IF($A324&lt;VLOOKUP(L$5,NFI,5,0),1,0)*Data_NFI_t[[#This Row],[Mosquito net]],0)</f>
        <v>0</v>
      </c>
      <c r="X324" s="131">
        <f>IF(NFI_Expiration=1,IF($A324&lt;VLOOKUP(M$5,NFI,5,0),1,0)*Data_NFI_t[[#This Row],[Tarpaulin]],0)</f>
        <v>0</v>
      </c>
      <c r="Y324" s="131">
        <f>IF(NFI_Expiration=1,IF($A324&lt;VLOOKUP(N$5,NFI,5,0),1,0)*Data_NFI_t[[#This Row],[Blanket]],0)</f>
        <v>0</v>
      </c>
      <c r="Z324" s="131">
        <f>IF(NFI_Expiration=1,IF($A324&lt;VLOOKUP(O$5,NFI,5,0),1,0)*Data_NFI_t[[#This Row],[Kitchen Set]],0)</f>
        <v>0</v>
      </c>
      <c r="AA324" s="131">
        <f>IF(NFI_Expiration=1,IF($A324&lt;VLOOKUP(P$5,NFI,5,0),1,0)*Data_NFI_t[[#This Row],[Complementary Kit]],0)</f>
        <v>0</v>
      </c>
      <c r="AB324" s="131">
        <f>IF(NFI_Expiration=1,IF($A324&lt;VLOOKUP(Q$5,NFI,5,0),1,0)*Data_NFI_t[[#This Row],[Plastic Bucket]],0)</f>
        <v>0</v>
      </c>
      <c r="AC324" s="131">
        <f>IF(NFI_Expiration=1,IF($A324&lt;VLOOKUP(R$5,NFI,5,0),1,0)*Data_NFI_t[[#This Row],[Jerry Can]],0)</f>
        <v>0</v>
      </c>
      <c r="AD324" s="150">
        <f>IF(NFI_Expiration=1,IF($A324&lt;VLOOKUP(S$5,NFI,5,0),1,0)*Data_NFI_t[[#This Row],[Plastic Mat]],0)*IF(Data_NFI_t[[#This Row],[Distribution Date]]&gt;"01-04-2014",1,2.5)</f>
        <v>0</v>
      </c>
      <c r="AE324" s="150" t="str">
        <f ca="1">IFERROR(OFFSET(Camp_List[P_Code],MATCH(Data_NFI_t[[#This Row],[Camp Name]],Camp_List[Camp Name],0)-1,0,1,1),"")</f>
        <v>MMR012CMP029</v>
      </c>
      <c r="AF324" s="714" t="str">
        <f ca="1">IFERROR(OFFSET(Camp_List[Status],MATCH(Data_NFI_t[[#This Row],[Camp Name]],Camp_List[Camp Name],0)-1,0,1,1),"")</f>
        <v>Open</v>
      </c>
    </row>
    <row r="325" spans="1:32" s="102" customFormat="1" ht="15" customHeight="1" x14ac:dyDescent="0.25">
      <c r="A325" s="265">
        <f t="shared" si="4"/>
        <v>39.766666666666666</v>
      </c>
      <c r="B325" s="265">
        <f>YEAR(Data_NFI_t[[#This Row],[Distribution Date]])</f>
        <v>2012</v>
      </c>
      <c r="C325" s="738">
        <v>41146</v>
      </c>
      <c r="D325" s="655" t="s">
        <v>288</v>
      </c>
      <c r="E325" s="654"/>
      <c r="F325" s="655" t="s">
        <v>7</v>
      </c>
      <c r="G325" s="31" t="s">
        <v>15</v>
      </c>
      <c r="H325" s="31" t="s">
        <v>52</v>
      </c>
      <c r="I325" s="31"/>
      <c r="J325" s="61"/>
      <c r="K325" s="61"/>
      <c r="L325" s="61"/>
      <c r="M325" s="61">
        <v>107</v>
      </c>
      <c r="N325" s="61"/>
      <c r="O325" s="61"/>
      <c r="P325" s="61"/>
      <c r="Q325" s="61"/>
      <c r="R325" s="708"/>
      <c r="S325" s="61"/>
      <c r="T325" s="150">
        <f>IF(NFI_Expiration=1,IF($A325&lt;VLOOKUP(I$5,NFI,5,0),1,0)*Data_NFI_t[[#This Row],[Hygiene Kit]],0)</f>
        <v>0</v>
      </c>
      <c r="U325" s="150">
        <f>IF(NFI_Expiration=1,IF($A325&lt;VLOOKUP(J$5,NFI,5,0),1,0)*Data_NFI_t[[#This Row],[NFI Core Kit]],0)</f>
        <v>0</v>
      </c>
      <c r="V325" s="131">
        <f>IF(NFI_Expiration=1,IF($A325&lt;VLOOKUP(K$5,NFI,5,0),1,0)*Data_NFI_t[[#This Row],[Sanitary Kit]],0)</f>
        <v>0</v>
      </c>
      <c r="W325" s="131">
        <f>IF(NFI_Expiration=1,IF($A325&lt;VLOOKUP(L$5,NFI,5,0),1,0)*Data_NFI_t[[#This Row],[Mosquito net]],0)</f>
        <v>0</v>
      </c>
      <c r="X325" s="131">
        <f>IF(NFI_Expiration=1,IF($A325&lt;VLOOKUP(M$5,NFI,5,0),1,0)*Data_NFI_t[[#This Row],[Tarpaulin]],0)</f>
        <v>0</v>
      </c>
      <c r="Y325" s="131">
        <f>IF(NFI_Expiration=1,IF($A325&lt;VLOOKUP(N$5,NFI,5,0),1,0)*Data_NFI_t[[#This Row],[Blanket]],0)</f>
        <v>0</v>
      </c>
      <c r="Z325" s="131">
        <f>IF(NFI_Expiration=1,IF($A325&lt;VLOOKUP(O$5,NFI,5,0),1,0)*Data_NFI_t[[#This Row],[Kitchen Set]],0)</f>
        <v>0</v>
      </c>
      <c r="AA325" s="131">
        <f>IF(NFI_Expiration=1,IF($A325&lt;VLOOKUP(P$5,NFI,5,0),1,0)*Data_NFI_t[[#This Row],[Complementary Kit]],0)</f>
        <v>0</v>
      </c>
      <c r="AB325" s="131">
        <f>IF(NFI_Expiration=1,IF($A325&lt;VLOOKUP(Q$5,NFI,5,0),1,0)*Data_NFI_t[[#This Row],[Plastic Bucket]],0)</f>
        <v>0</v>
      </c>
      <c r="AC325" s="131">
        <f>IF(NFI_Expiration=1,IF($A325&lt;VLOOKUP(R$5,NFI,5,0),1,0)*Data_NFI_t[[#This Row],[Jerry Can]],0)</f>
        <v>0</v>
      </c>
      <c r="AD325" s="150">
        <f>IF(NFI_Expiration=1,IF($A325&lt;VLOOKUP(S$5,NFI,5,0),1,0)*Data_NFI_t[[#This Row],[Plastic Mat]],0)*IF(Data_NFI_t[[#This Row],[Distribution Date]]&gt;"01-04-2014",1,2.5)</f>
        <v>0</v>
      </c>
      <c r="AE325" s="150" t="str">
        <f ca="1">IFERROR(OFFSET(Camp_List[P_Code],MATCH(Data_NFI_t[[#This Row],[Camp Name]],Camp_List[Camp Name],0)-1,0,1,1),"")</f>
        <v>MMR012CMP028</v>
      </c>
      <c r="AF325" s="714" t="str">
        <f ca="1">IFERROR(OFFSET(Camp_List[Status],MATCH(Data_NFI_t[[#This Row],[Camp Name]],Camp_List[Camp Name],0)-1,0,1,1),"")</f>
        <v>Open</v>
      </c>
    </row>
    <row r="326" spans="1:32" s="102" customFormat="1" ht="15" customHeight="1" x14ac:dyDescent="0.25">
      <c r="A326" s="265">
        <f t="shared" ref="A326:A389" si="5">IF(ISBLANK(C326),"",(Report_Date-C326)/30)</f>
        <v>39.833333333333336</v>
      </c>
      <c r="B326" s="265">
        <f>YEAR(Data_NFI_t[[#This Row],[Distribution Date]])</f>
        <v>2012</v>
      </c>
      <c r="C326" s="738">
        <v>41144</v>
      </c>
      <c r="D326" s="655" t="s">
        <v>288</v>
      </c>
      <c r="E326" s="654"/>
      <c r="F326" s="655" t="s">
        <v>7</v>
      </c>
      <c r="G326" s="31" t="s">
        <v>19</v>
      </c>
      <c r="H326" s="31" t="s">
        <v>63</v>
      </c>
      <c r="I326" s="31"/>
      <c r="J326" s="61"/>
      <c r="K326" s="61"/>
      <c r="L326" s="61"/>
      <c r="M326" s="61">
        <v>805</v>
      </c>
      <c r="N326" s="61"/>
      <c r="O326" s="61"/>
      <c r="P326" s="61"/>
      <c r="Q326" s="61"/>
      <c r="R326" s="708"/>
      <c r="S326" s="61"/>
      <c r="T326" s="150">
        <f>IF(NFI_Expiration=1,IF($A326&lt;VLOOKUP(I$5,NFI,5,0),1,0)*Data_NFI_t[[#This Row],[Hygiene Kit]],0)</f>
        <v>0</v>
      </c>
      <c r="U326" s="150">
        <f>IF(NFI_Expiration=1,IF($A326&lt;VLOOKUP(J$5,NFI,5,0),1,0)*Data_NFI_t[[#This Row],[NFI Core Kit]],0)</f>
        <v>0</v>
      </c>
      <c r="V326" s="131">
        <f>IF(NFI_Expiration=1,IF($A326&lt;VLOOKUP(K$5,NFI,5,0),1,0)*Data_NFI_t[[#This Row],[Sanitary Kit]],0)</f>
        <v>0</v>
      </c>
      <c r="W326" s="131">
        <f>IF(NFI_Expiration=1,IF($A326&lt;VLOOKUP(L$5,NFI,5,0),1,0)*Data_NFI_t[[#This Row],[Mosquito net]],0)</f>
        <v>0</v>
      </c>
      <c r="X326" s="131">
        <f>IF(NFI_Expiration=1,IF($A326&lt;VLOOKUP(M$5,NFI,5,0),1,0)*Data_NFI_t[[#This Row],[Tarpaulin]],0)</f>
        <v>0</v>
      </c>
      <c r="Y326" s="131">
        <f>IF(NFI_Expiration=1,IF($A326&lt;VLOOKUP(N$5,NFI,5,0),1,0)*Data_NFI_t[[#This Row],[Blanket]],0)</f>
        <v>0</v>
      </c>
      <c r="Z326" s="131">
        <f>IF(NFI_Expiration=1,IF($A326&lt;VLOOKUP(O$5,NFI,5,0),1,0)*Data_NFI_t[[#This Row],[Kitchen Set]],0)</f>
        <v>0</v>
      </c>
      <c r="AA326" s="131">
        <f>IF(NFI_Expiration=1,IF($A326&lt;VLOOKUP(P$5,NFI,5,0),1,0)*Data_NFI_t[[#This Row],[Complementary Kit]],0)</f>
        <v>0</v>
      </c>
      <c r="AB326" s="131">
        <f>IF(NFI_Expiration=1,IF($A326&lt;VLOOKUP(Q$5,NFI,5,0),1,0)*Data_NFI_t[[#This Row],[Plastic Bucket]],0)</f>
        <v>0</v>
      </c>
      <c r="AC326" s="131">
        <f>IF(NFI_Expiration=1,IF($A326&lt;VLOOKUP(R$5,NFI,5,0),1,0)*Data_NFI_t[[#This Row],[Jerry Can]],0)</f>
        <v>0</v>
      </c>
      <c r="AD326" s="150">
        <f>IF(NFI_Expiration=1,IF($A326&lt;VLOOKUP(S$5,NFI,5,0),1,0)*Data_NFI_t[[#This Row],[Plastic Mat]],0)*IF(Data_NFI_t[[#This Row],[Distribution Date]]&gt;"01-04-2014",1,2.5)</f>
        <v>0</v>
      </c>
      <c r="AE326" s="150" t="str">
        <f ca="1">IFERROR(OFFSET(Camp_List[P_Code],MATCH(Data_NFI_t[[#This Row],[Camp Name]],Camp_List[Camp Name],0)-1,0,1,1),"")</f>
        <v>MMR012CMP041</v>
      </c>
      <c r="AF326" s="714" t="str">
        <f ca="1">IFERROR(OFFSET(Camp_List[Status],MATCH(Data_NFI_t[[#This Row],[Camp Name]],Camp_List[Camp Name],0)-1,0,1,1),"")</f>
        <v>Open</v>
      </c>
    </row>
    <row r="327" spans="1:32" s="102" customFormat="1" ht="15" customHeight="1" x14ac:dyDescent="0.25">
      <c r="A327" s="265">
        <f t="shared" si="5"/>
        <v>40.43333333333333</v>
      </c>
      <c r="B327" s="265">
        <f>YEAR(Data_NFI_t[[#This Row],[Distribution Date]])</f>
        <v>2012</v>
      </c>
      <c r="C327" s="738">
        <v>41126</v>
      </c>
      <c r="D327" s="655" t="s">
        <v>288</v>
      </c>
      <c r="E327" s="654"/>
      <c r="F327" s="655" t="s">
        <v>7</v>
      </c>
      <c r="G327" s="31" t="s">
        <v>19</v>
      </c>
      <c r="H327" s="31" t="s">
        <v>70</v>
      </c>
      <c r="I327" s="31"/>
      <c r="J327" s="61"/>
      <c r="K327" s="61"/>
      <c r="L327" s="61"/>
      <c r="M327" s="61">
        <v>98</v>
      </c>
      <c r="N327" s="61"/>
      <c r="O327" s="61"/>
      <c r="P327" s="61"/>
      <c r="Q327" s="61"/>
      <c r="R327" s="708"/>
      <c r="S327" s="61"/>
      <c r="T327" s="150">
        <f>IF(NFI_Expiration=1,IF($A327&lt;VLOOKUP(I$5,NFI,5,0),1,0)*Data_NFI_t[[#This Row],[Hygiene Kit]],0)</f>
        <v>0</v>
      </c>
      <c r="U327" s="150">
        <f>IF(NFI_Expiration=1,IF($A327&lt;VLOOKUP(J$5,NFI,5,0),1,0)*Data_NFI_t[[#This Row],[NFI Core Kit]],0)</f>
        <v>0</v>
      </c>
      <c r="V327" s="131">
        <f>IF(NFI_Expiration=1,IF($A327&lt;VLOOKUP(K$5,NFI,5,0),1,0)*Data_NFI_t[[#This Row],[Sanitary Kit]],0)</f>
        <v>0</v>
      </c>
      <c r="W327" s="131">
        <f>IF(NFI_Expiration=1,IF($A327&lt;VLOOKUP(L$5,NFI,5,0),1,0)*Data_NFI_t[[#This Row],[Mosquito net]],0)</f>
        <v>0</v>
      </c>
      <c r="X327" s="131">
        <f>IF(NFI_Expiration=1,IF($A327&lt;VLOOKUP(M$5,NFI,5,0),1,0)*Data_NFI_t[[#This Row],[Tarpaulin]],0)</f>
        <v>0</v>
      </c>
      <c r="Y327" s="131">
        <f>IF(NFI_Expiration=1,IF($A327&lt;VLOOKUP(N$5,NFI,5,0),1,0)*Data_NFI_t[[#This Row],[Blanket]],0)</f>
        <v>0</v>
      </c>
      <c r="Z327" s="131">
        <f>IF(NFI_Expiration=1,IF($A327&lt;VLOOKUP(O$5,NFI,5,0),1,0)*Data_NFI_t[[#This Row],[Kitchen Set]],0)</f>
        <v>0</v>
      </c>
      <c r="AA327" s="131">
        <f>IF(NFI_Expiration=1,IF($A327&lt;VLOOKUP(P$5,NFI,5,0),1,0)*Data_NFI_t[[#This Row],[Complementary Kit]],0)</f>
        <v>0</v>
      </c>
      <c r="AB327" s="131">
        <f>IF(NFI_Expiration=1,IF($A327&lt;VLOOKUP(Q$5,NFI,5,0),1,0)*Data_NFI_t[[#This Row],[Plastic Bucket]],0)</f>
        <v>0</v>
      </c>
      <c r="AC327" s="131">
        <f>IF(NFI_Expiration=1,IF($A327&lt;VLOOKUP(R$5,NFI,5,0),1,0)*Data_NFI_t[[#This Row],[Jerry Can]],0)</f>
        <v>0</v>
      </c>
      <c r="AD327" s="150">
        <f>IF(NFI_Expiration=1,IF($A327&lt;VLOOKUP(S$5,NFI,5,0),1,0)*Data_NFI_t[[#This Row],[Plastic Mat]],0)*IF(Data_NFI_t[[#This Row],[Distribution Date]]&gt;"01-04-2014",1,2.5)</f>
        <v>0</v>
      </c>
      <c r="AE327" s="150" t="str">
        <f ca="1">IFERROR(OFFSET(Camp_List[P_Code],MATCH(Data_NFI_t[[#This Row],[Camp Name]],Camp_List[Camp Name],0)-1,0,1,1),"")</f>
        <v>MMR012CMP048</v>
      </c>
      <c r="AF327" s="714" t="str">
        <f ca="1">IFERROR(OFFSET(Camp_List[Status],MATCH(Data_NFI_t[[#This Row],[Camp Name]],Camp_List[Camp Name],0)-1,0,1,1),"")</f>
        <v>Open</v>
      </c>
    </row>
    <row r="328" spans="1:32" s="102" customFormat="1" ht="15" customHeight="1" x14ac:dyDescent="0.25">
      <c r="A328" s="265">
        <f t="shared" si="5"/>
        <v>40.633333333333333</v>
      </c>
      <c r="B328" s="265">
        <f>YEAR(Data_NFI_t[[#This Row],[Distribution Date]])</f>
        <v>2012</v>
      </c>
      <c r="C328" s="738">
        <v>41120</v>
      </c>
      <c r="D328" s="655" t="s">
        <v>288</v>
      </c>
      <c r="E328" s="654"/>
      <c r="F328" s="655" t="s">
        <v>7</v>
      </c>
      <c r="G328" s="31" t="s">
        <v>19</v>
      </c>
      <c r="H328" s="31" t="s">
        <v>67</v>
      </c>
      <c r="I328" s="31"/>
      <c r="J328" s="61"/>
      <c r="K328" s="61"/>
      <c r="L328" s="61"/>
      <c r="M328" s="61">
        <v>461</v>
      </c>
      <c r="N328" s="61"/>
      <c r="O328" s="61"/>
      <c r="P328" s="61"/>
      <c r="Q328" s="61"/>
      <c r="R328" s="708"/>
      <c r="S328" s="61"/>
      <c r="T328" s="150">
        <f>IF(NFI_Expiration=1,IF($A328&lt;VLOOKUP(I$5,NFI,5,0),1,0)*Data_NFI_t[[#This Row],[Hygiene Kit]],0)</f>
        <v>0</v>
      </c>
      <c r="U328" s="150">
        <f>IF(NFI_Expiration=1,IF($A328&lt;VLOOKUP(J$5,NFI,5,0),1,0)*Data_NFI_t[[#This Row],[NFI Core Kit]],0)</f>
        <v>0</v>
      </c>
      <c r="V328" s="131">
        <f>IF(NFI_Expiration=1,IF($A328&lt;VLOOKUP(K$5,NFI,5,0),1,0)*Data_NFI_t[[#This Row],[Sanitary Kit]],0)</f>
        <v>0</v>
      </c>
      <c r="W328" s="131">
        <f>IF(NFI_Expiration=1,IF($A328&lt;VLOOKUP(L$5,NFI,5,0),1,0)*Data_NFI_t[[#This Row],[Mosquito net]],0)</f>
        <v>0</v>
      </c>
      <c r="X328" s="131">
        <f>IF(NFI_Expiration=1,IF($A328&lt;VLOOKUP(M$5,NFI,5,0),1,0)*Data_NFI_t[[#This Row],[Tarpaulin]],0)</f>
        <v>0</v>
      </c>
      <c r="Y328" s="131">
        <f>IF(NFI_Expiration=1,IF($A328&lt;VLOOKUP(N$5,NFI,5,0),1,0)*Data_NFI_t[[#This Row],[Blanket]],0)</f>
        <v>0</v>
      </c>
      <c r="Z328" s="131">
        <f>IF(NFI_Expiration=1,IF($A328&lt;VLOOKUP(O$5,NFI,5,0),1,0)*Data_NFI_t[[#This Row],[Kitchen Set]],0)</f>
        <v>0</v>
      </c>
      <c r="AA328" s="131">
        <f>IF(NFI_Expiration=1,IF($A328&lt;VLOOKUP(P$5,NFI,5,0),1,0)*Data_NFI_t[[#This Row],[Complementary Kit]],0)</f>
        <v>0</v>
      </c>
      <c r="AB328" s="131">
        <f>IF(NFI_Expiration=1,IF($A328&lt;VLOOKUP(Q$5,NFI,5,0),1,0)*Data_NFI_t[[#This Row],[Plastic Bucket]],0)</f>
        <v>0</v>
      </c>
      <c r="AC328" s="131">
        <f>IF(NFI_Expiration=1,IF($A328&lt;VLOOKUP(R$5,NFI,5,0),1,0)*Data_NFI_t[[#This Row],[Jerry Can]],0)</f>
        <v>0</v>
      </c>
      <c r="AD328" s="150">
        <f>IF(NFI_Expiration=1,IF($A328&lt;VLOOKUP(S$5,NFI,5,0),1,0)*Data_NFI_t[[#This Row],[Plastic Mat]],0)*IF(Data_NFI_t[[#This Row],[Distribution Date]]&gt;"01-04-2014",1,2.5)</f>
        <v>0</v>
      </c>
      <c r="AE328" s="150" t="str">
        <f ca="1">IFERROR(OFFSET(Camp_List[P_Code],MATCH(Data_NFI_t[[#This Row],[Camp Name]],Camp_List[Camp Name],0)-1,0,1,1),"")</f>
        <v>MMR012CMP045</v>
      </c>
      <c r="AF328" s="714" t="str">
        <f ca="1">IFERROR(OFFSET(Camp_List[Status],MATCH(Data_NFI_t[[#This Row],[Camp Name]],Camp_List[Camp Name],0)-1,0,1,1),"")</f>
        <v>Open</v>
      </c>
    </row>
    <row r="329" spans="1:32" s="102" customFormat="1" ht="15" customHeight="1" x14ac:dyDescent="0.25">
      <c r="A329" s="265">
        <f t="shared" si="5"/>
        <v>40.633333333333333</v>
      </c>
      <c r="B329" s="265">
        <f>YEAR(Data_NFI_t[[#This Row],[Distribution Date]])</f>
        <v>2012</v>
      </c>
      <c r="C329" s="738">
        <v>41120</v>
      </c>
      <c r="D329" s="655" t="s">
        <v>288</v>
      </c>
      <c r="E329" s="654"/>
      <c r="F329" s="655" t="s">
        <v>7</v>
      </c>
      <c r="G329" s="31" t="s">
        <v>19</v>
      </c>
      <c r="H329" s="31" t="s">
        <v>70</v>
      </c>
      <c r="I329" s="31"/>
      <c r="J329" s="61"/>
      <c r="K329" s="61"/>
      <c r="L329" s="61"/>
      <c r="M329" s="61">
        <v>11</v>
      </c>
      <c r="N329" s="61"/>
      <c r="O329" s="61"/>
      <c r="P329" s="61"/>
      <c r="Q329" s="61"/>
      <c r="R329" s="708"/>
      <c r="S329" s="61"/>
      <c r="T329" s="150">
        <f>IF(NFI_Expiration=1,IF($A329&lt;VLOOKUP(I$5,NFI,5,0),1,0)*Data_NFI_t[[#This Row],[Hygiene Kit]],0)</f>
        <v>0</v>
      </c>
      <c r="U329" s="150">
        <f>IF(NFI_Expiration=1,IF($A329&lt;VLOOKUP(J$5,NFI,5,0),1,0)*Data_NFI_t[[#This Row],[NFI Core Kit]],0)</f>
        <v>0</v>
      </c>
      <c r="V329" s="131">
        <f>IF(NFI_Expiration=1,IF($A329&lt;VLOOKUP(K$5,NFI,5,0),1,0)*Data_NFI_t[[#This Row],[Sanitary Kit]],0)</f>
        <v>0</v>
      </c>
      <c r="W329" s="131">
        <f>IF(NFI_Expiration=1,IF($A329&lt;VLOOKUP(L$5,NFI,5,0),1,0)*Data_NFI_t[[#This Row],[Mosquito net]],0)</f>
        <v>0</v>
      </c>
      <c r="X329" s="131">
        <f>IF(NFI_Expiration=1,IF($A329&lt;VLOOKUP(M$5,NFI,5,0),1,0)*Data_NFI_t[[#This Row],[Tarpaulin]],0)</f>
        <v>0</v>
      </c>
      <c r="Y329" s="131">
        <f>IF(NFI_Expiration=1,IF($A329&lt;VLOOKUP(N$5,NFI,5,0),1,0)*Data_NFI_t[[#This Row],[Blanket]],0)</f>
        <v>0</v>
      </c>
      <c r="Z329" s="131">
        <f>IF(NFI_Expiration=1,IF($A329&lt;VLOOKUP(O$5,NFI,5,0),1,0)*Data_NFI_t[[#This Row],[Kitchen Set]],0)</f>
        <v>0</v>
      </c>
      <c r="AA329" s="131">
        <f>IF(NFI_Expiration=1,IF($A329&lt;VLOOKUP(P$5,NFI,5,0),1,0)*Data_NFI_t[[#This Row],[Complementary Kit]],0)</f>
        <v>0</v>
      </c>
      <c r="AB329" s="131">
        <f>IF(NFI_Expiration=1,IF($A329&lt;VLOOKUP(Q$5,NFI,5,0),1,0)*Data_NFI_t[[#This Row],[Plastic Bucket]],0)</f>
        <v>0</v>
      </c>
      <c r="AC329" s="131">
        <f>IF(NFI_Expiration=1,IF($A329&lt;VLOOKUP(R$5,NFI,5,0),1,0)*Data_NFI_t[[#This Row],[Jerry Can]],0)</f>
        <v>0</v>
      </c>
      <c r="AD329" s="150">
        <f>IF(NFI_Expiration=1,IF($A329&lt;VLOOKUP(S$5,NFI,5,0),1,0)*Data_NFI_t[[#This Row],[Plastic Mat]],0)*IF(Data_NFI_t[[#This Row],[Distribution Date]]&gt;"01-04-2014",1,2.5)</f>
        <v>0</v>
      </c>
      <c r="AE329" s="150" t="str">
        <f ca="1">IFERROR(OFFSET(Camp_List[P_Code],MATCH(Data_NFI_t[[#This Row],[Camp Name]],Camp_List[Camp Name],0)-1,0,1,1),"")</f>
        <v>MMR012CMP048</v>
      </c>
      <c r="AF329" s="714" t="str">
        <f ca="1">IFERROR(OFFSET(Camp_List[Status],MATCH(Data_NFI_t[[#This Row],[Camp Name]],Camp_List[Camp Name],0)-1,0,1,1),"")</f>
        <v>Open</v>
      </c>
    </row>
    <row r="330" spans="1:32" s="102" customFormat="1" ht="15" customHeight="1" x14ac:dyDescent="0.25">
      <c r="A330" s="265">
        <f t="shared" si="5"/>
        <v>40.666666666666664</v>
      </c>
      <c r="B330" s="265">
        <f>YEAR(Data_NFI_t[[#This Row],[Distribution Date]])</f>
        <v>2012</v>
      </c>
      <c r="C330" s="738">
        <v>41119</v>
      </c>
      <c r="D330" s="655" t="s">
        <v>288</v>
      </c>
      <c r="E330" s="654"/>
      <c r="F330" s="655" t="s">
        <v>7</v>
      </c>
      <c r="G330" s="31" t="s">
        <v>19</v>
      </c>
      <c r="H330" s="31" t="s">
        <v>64</v>
      </c>
      <c r="I330" s="31"/>
      <c r="J330" s="61"/>
      <c r="K330" s="61"/>
      <c r="L330" s="61"/>
      <c r="M330" s="61">
        <v>22</v>
      </c>
      <c r="N330" s="61"/>
      <c r="O330" s="61"/>
      <c r="P330" s="61"/>
      <c r="Q330" s="61"/>
      <c r="R330" s="708"/>
      <c r="S330" s="61"/>
      <c r="T330" s="150">
        <f>IF(NFI_Expiration=1,IF($A330&lt;VLOOKUP(I$5,NFI,5,0),1,0)*Data_NFI_t[[#This Row],[Hygiene Kit]],0)</f>
        <v>0</v>
      </c>
      <c r="U330" s="150">
        <f>IF(NFI_Expiration=1,IF($A330&lt;VLOOKUP(J$5,NFI,5,0),1,0)*Data_NFI_t[[#This Row],[NFI Core Kit]],0)</f>
        <v>0</v>
      </c>
      <c r="V330" s="131">
        <f>IF(NFI_Expiration=1,IF($A330&lt;VLOOKUP(K$5,NFI,5,0),1,0)*Data_NFI_t[[#This Row],[Sanitary Kit]],0)</f>
        <v>0</v>
      </c>
      <c r="W330" s="131">
        <f>IF(NFI_Expiration=1,IF($A330&lt;VLOOKUP(L$5,NFI,5,0),1,0)*Data_NFI_t[[#This Row],[Mosquito net]],0)</f>
        <v>0</v>
      </c>
      <c r="X330" s="131">
        <f>IF(NFI_Expiration=1,IF($A330&lt;VLOOKUP(M$5,NFI,5,0),1,0)*Data_NFI_t[[#This Row],[Tarpaulin]],0)</f>
        <v>0</v>
      </c>
      <c r="Y330" s="131">
        <f>IF(NFI_Expiration=1,IF($A330&lt;VLOOKUP(N$5,NFI,5,0),1,0)*Data_NFI_t[[#This Row],[Blanket]],0)</f>
        <v>0</v>
      </c>
      <c r="Z330" s="131">
        <f>IF(NFI_Expiration=1,IF($A330&lt;VLOOKUP(O$5,NFI,5,0),1,0)*Data_NFI_t[[#This Row],[Kitchen Set]],0)</f>
        <v>0</v>
      </c>
      <c r="AA330" s="131">
        <f>IF(NFI_Expiration=1,IF($A330&lt;VLOOKUP(P$5,NFI,5,0),1,0)*Data_NFI_t[[#This Row],[Complementary Kit]],0)</f>
        <v>0</v>
      </c>
      <c r="AB330" s="131">
        <f>IF(NFI_Expiration=1,IF($A330&lt;VLOOKUP(Q$5,NFI,5,0),1,0)*Data_NFI_t[[#This Row],[Plastic Bucket]],0)</f>
        <v>0</v>
      </c>
      <c r="AC330" s="131">
        <f>IF(NFI_Expiration=1,IF($A330&lt;VLOOKUP(R$5,NFI,5,0),1,0)*Data_NFI_t[[#This Row],[Jerry Can]],0)</f>
        <v>0</v>
      </c>
      <c r="AD330" s="150">
        <f>IF(NFI_Expiration=1,IF($A330&lt;VLOOKUP(S$5,NFI,5,0),1,0)*Data_NFI_t[[#This Row],[Plastic Mat]],0)*IF(Data_NFI_t[[#This Row],[Distribution Date]]&gt;"01-04-2014",1,2.5)</f>
        <v>0</v>
      </c>
      <c r="AE330" s="150" t="str">
        <f ca="1">IFERROR(OFFSET(Camp_List[P_Code],MATCH(Data_NFI_t[[#This Row],[Camp Name]],Camp_List[Camp Name],0)-1,0,1,1),"")</f>
        <v>MMR012CMP042</v>
      </c>
      <c r="AF330" s="714" t="str">
        <f ca="1">IFERROR(OFFSET(Camp_List[Status],MATCH(Data_NFI_t[[#This Row],[Camp Name]],Camp_List[Camp Name],0)-1,0,1,1),"")</f>
        <v>Open</v>
      </c>
    </row>
    <row r="331" spans="1:32" s="102" customFormat="1" ht="15" customHeight="1" x14ac:dyDescent="0.25">
      <c r="A331" s="265">
        <f t="shared" si="5"/>
        <v>40.666666666666664</v>
      </c>
      <c r="B331" s="265">
        <f>YEAR(Data_NFI_t[[#This Row],[Distribution Date]])</f>
        <v>2012</v>
      </c>
      <c r="C331" s="738">
        <v>41119</v>
      </c>
      <c r="D331" s="655" t="s">
        <v>288</v>
      </c>
      <c r="E331" s="654"/>
      <c r="F331" s="655" t="s">
        <v>7</v>
      </c>
      <c r="G331" s="31" t="s">
        <v>19</v>
      </c>
      <c r="H331" s="31" t="s">
        <v>67</v>
      </c>
      <c r="I331" s="31"/>
      <c r="J331" s="61"/>
      <c r="K331" s="61"/>
      <c r="L331" s="61"/>
      <c r="M331" s="61">
        <v>456</v>
      </c>
      <c r="N331" s="61"/>
      <c r="O331" s="61"/>
      <c r="P331" s="61"/>
      <c r="Q331" s="61"/>
      <c r="R331" s="708"/>
      <c r="S331" s="61"/>
      <c r="T331" s="150">
        <f>IF(NFI_Expiration=1,IF($A331&lt;VLOOKUP(I$5,NFI,5,0),1,0)*Data_NFI_t[[#This Row],[Hygiene Kit]],0)</f>
        <v>0</v>
      </c>
      <c r="U331" s="150">
        <f>IF(NFI_Expiration=1,IF($A331&lt;VLOOKUP(J$5,NFI,5,0),1,0)*Data_NFI_t[[#This Row],[NFI Core Kit]],0)</f>
        <v>0</v>
      </c>
      <c r="V331" s="131">
        <f>IF(NFI_Expiration=1,IF($A331&lt;VLOOKUP(K$5,NFI,5,0),1,0)*Data_NFI_t[[#This Row],[Sanitary Kit]],0)</f>
        <v>0</v>
      </c>
      <c r="W331" s="131">
        <f>IF(NFI_Expiration=1,IF($A331&lt;VLOOKUP(L$5,NFI,5,0),1,0)*Data_NFI_t[[#This Row],[Mosquito net]],0)</f>
        <v>0</v>
      </c>
      <c r="X331" s="131">
        <f>IF(NFI_Expiration=1,IF($A331&lt;VLOOKUP(M$5,NFI,5,0),1,0)*Data_NFI_t[[#This Row],[Tarpaulin]],0)</f>
        <v>0</v>
      </c>
      <c r="Y331" s="131">
        <f>IF(NFI_Expiration=1,IF($A331&lt;VLOOKUP(N$5,NFI,5,0),1,0)*Data_NFI_t[[#This Row],[Blanket]],0)</f>
        <v>0</v>
      </c>
      <c r="Z331" s="131">
        <f>IF(NFI_Expiration=1,IF($A331&lt;VLOOKUP(O$5,NFI,5,0),1,0)*Data_NFI_t[[#This Row],[Kitchen Set]],0)</f>
        <v>0</v>
      </c>
      <c r="AA331" s="131">
        <f>IF(NFI_Expiration=1,IF($A331&lt;VLOOKUP(P$5,NFI,5,0),1,0)*Data_NFI_t[[#This Row],[Complementary Kit]],0)</f>
        <v>0</v>
      </c>
      <c r="AB331" s="131">
        <f>IF(NFI_Expiration=1,IF($A331&lt;VLOOKUP(Q$5,NFI,5,0),1,0)*Data_NFI_t[[#This Row],[Plastic Bucket]],0)</f>
        <v>0</v>
      </c>
      <c r="AC331" s="131">
        <f>IF(NFI_Expiration=1,IF($A331&lt;VLOOKUP(R$5,NFI,5,0),1,0)*Data_NFI_t[[#This Row],[Jerry Can]],0)</f>
        <v>0</v>
      </c>
      <c r="AD331" s="150">
        <f>IF(NFI_Expiration=1,IF($A331&lt;VLOOKUP(S$5,NFI,5,0),1,0)*Data_NFI_t[[#This Row],[Plastic Mat]],0)*IF(Data_NFI_t[[#This Row],[Distribution Date]]&gt;"01-04-2014",1,2.5)</f>
        <v>0</v>
      </c>
      <c r="AE331" s="150" t="str">
        <f ca="1">IFERROR(OFFSET(Camp_List[P_Code],MATCH(Data_NFI_t[[#This Row],[Camp Name]],Camp_List[Camp Name],0)-1,0,1,1),"")</f>
        <v>MMR012CMP045</v>
      </c>
      <c r="AF331" s="714" t="str">
        <f ca="1">IFERROR(OFFSET(Camp_List[Status],MATCH(Data_NFI_t[[#This Row],[Camp Name]],Camp_List[Camp Name],0)-1,0,1,1),"")</f>
        <v>Open</v>
      </c>
    </row>
    <row r="332" spans="1:32" s="102" customFormat="1" ht="15" customHeight="1" x14ac:dyDescent="0.25">
      <c r="A332" s="265">
        <f t="shared" si="5"/>
        <v>40.93333333333333</v>
      </c>
      <c r="B332" s="265">
        <f>YEAR(Data_NFI_t[[#This Row],[Distribution Date]])</f>
        <v>2012</v>
      </c>
      <c r="C332" s="738">
        <v>41111</v>
      </c>
      <c r="D332" s="655" t="s">
        <v>288</v>
      </c>
      <c r="E332" s="654"/>
      <c r="F332" s="655" t="s">
        <v>7</v>
      </c>
      <c r="G332" s="31" t="s">
        <v>19</v>
      </c>
      <c r="H332" s="31" t="s">
        <v>67</v>
      </c>
      <c r="I332" s="31"/>
      <c r="J332" s="61"/>
      <c r="K332" s="61"/>
      <c r="L332" s="61"/>
      <c r="M332" s="61">
        <v>117</v>
      </c>
      <c r="N332" s="61"/>
      <c r="O332" s="61"/>
      <c r="P332" s="61"/>
      <c r="Q332" s="61"/>
      <c r="R332" s="708"/>
      <c r="S332" s="61"/>
      <c r="T332" s="150">
        <f>IF(NFI_Expiration=1,IF($A332&lt;VLOOKUP(I$5,NFI,5,0),1,0)*Data_NFI_t[[#This Row],[Hygiene Kit]],0)</f>
        <v>0</v>
      </c>
      <c r="U332" s="150">
        <f>IF(NFI_Expiration=1,IF($A332&lt;VLOOKUP(J$5,NFI,5,0),1,0)*Data_NFI_t[[#This Row],[NFI Core Kit]],0)</f>
        <v>0</v>
      </c>
      <c r="V332" s="131">
        <f>IF(NFI_Expiration=1,IF($A332&lt;VLOOKUP(K$5,NFI,5,0),1,0)*Data_NFI_t[[#This Row],[Sanitary Kit]],0)</f>
        <v>0</v>
      </c>
      <c r="W332" s="131">
        <f>IF(NFI_Expiration=1,IF($A332&lt;VLOOKUP(L$5,NFI,5,0),1,0)*Data_NFI_t[[#This Row],[Mosquito net]],0)</f>
        <v>0</v>
      </c>
      <c r="X332" s="131">
        <f>IF(NFI_Expiration=1,IF($A332&lt;VLOOKUP(M$5,NFI,5,0),1,0)*Data_NFI_t[[#This Row],[Tarpaulin]],0)</f>
        <v>0</v>
      </c>
      <c r="Y332" s="131">
        <f>IF(NFI_Expiration=1,IF($A332&lt;VLOOKUP(N$5,NFI,5,0),1,0)*Data_NFI_t[[#This Row],[Blanket]],0)</f>
        <v>0</v>
      </c>
      <c r="Z332" s="131">
        <f>IF(NFI_Expiration=1,IF($A332&lt;VLOOKUP(O$5,NFI,5,0),1,0)*Data_NFI_t[[#This Row],[Kitchen Set]],0)</f>
        <v>0</v>
      </c>
      <c r="AA332" s="131">
        <f>IF(NFI_Expiration=1,IF($A332&lt;VLOOKUP(P$5,NFI,5,0),1,0)*Data_NFI_t[[#This Row],[Complementary Kit]],0)</f>
        <v>0</v>
      </c>
      <c r="AB332" s="131">
        <f>IF(NFI_Expiration=1,IF($A332&lt;VLOOKUP(Q$5,NFI,5,0),1,0)*Data_NFI_t[[#This Row],[Plastic Bucket]],0)</f>
        <v>0</v>
      </c>
      <c r="AC332" s="131">
        <f>IF(NFI_Expiration=1,IF($A332&lt;VLOOKUP(R$5,NFI,5,0),1,0)*Data_NFI_t[[#This Row],[Jerry Can]],0)</f>
        <v>0</v>
      </c>
      <c r="AD332" s="150">
        <f>IF(NFI_Expiration=1,IF($A332&lt;VLOOKUP(S$5,NFI,5,0),1,0)*Data_NFI_t[[#This Row],[Plastic Mat]],0)*IF(Data_NFI_t[[#This Row],[Distribution Date]]&gt;"01-04-2014",1,2.5)</f>
        <v>0</v>
      </c>
      <c r="AE332" s="150" t="str">
        <f ca="1">IFERROR(OFFSET(Camp_List[P_Code],MATCH(Data_NFI_t[[#This Row],[Camp Name]],Camp_List[Camp Name],0)-1,0,1,1),"")</f>
        <v>MMR012CMP045</v>
      </c>
      <c r="AF332" s="714" t="str">
        <f ca="1">IFERROR(OFFSET(Camp_List[Status],MATCH(Data_NFI_t[[#This Row],[Camp Name]],Camp_List[Camp Name],0)-1,0,1,1),"")</f>
        <v>Open</v>
      </c>
    </row>
    <row r="333" spans="1:32" s="102" customFormat="1" ht="15" customHeight="1" x14ac:dyDescent="0.25">
      <c r="A333" s="265">
        <f t="shared" si="5"/>
        <v>40.966666666666669</v>
      </c>
      <c r="B333" s="265">
        <f>YEAR(Data_NFI_t[[#This Row],[Distribution Date]])</f>
        <v>2012</v>
      </c>
      <c r="C333" s="738">
        <v>41110</v>
      </c>
      <c r="D333" s="655" t="s">
        <v>288</v>
      </c>
      <c r="E333" s="654"/>
      <c r="F333" s="655" t="s">
        <v>7</v>
      </c>
      <c r="G333" s="31" t="s">
        <v>19</v>
      </c>
      <c r="H333" s="31" t="s">
        <v>61</v>
      </c>
      <c r="I333" s="31"/>
      <c r="J333" s="61"/>
      <c r="K333" s="61"/>
      <c r="L333" s="61"/>
      <c r="M333" s="61">
        <v>383</v>
      </c>
      <c r="N333" s="61"/>
      <c r="O333" s="61"/>
      <c r="P333" s="61"/>
      <c r="Q333" s="61"/>
      <c r="R333" s="708"/>
      <c r="S333" s="61"/>
      <c r="T333" s="150">
        <f>IF(NFI_Expiration=1,IF($A333&lt;VLOOKUP(I$5,NFI,5,0),1,0)*Data_NFI_t[[#This Row],[Hygiene Kit]],0)</f>
        <v>0</v>
      </c>
      <c r="U333" s="150">
        <f>IF(NFI_Expiration=1,IF($A333&lt;VLOOKUP(J$5,NFI,5,0),1,0)*Data_NFI_t[[#This Row],[NFI Core Kit]],0)</f>
        <v>0</v>
      </c>
      <c r="V333" s="131">
        <f>IF(NFI_Expiration=1,IF($A333&lt;VLOOKUP(K$5,NFI,5,0),1,0)*Data_NFI_t[[#This Row],[Sanitary Kit]],0)</f>
        <v>0</v>
      </c>
      <c r="W333" s="131">
        <f>IF(NFI_Expiration=1,IF($A333&lt;VLOOKUP(L$5,NFI,5,0),1,0)*Data_NFI_t[[#This Row],[Mosquito net]],0)</f>
        <v>0</v>
      </c>
      <c r="X333" s="131">
        <f>IF(NFI_Expiration=1,IF($A333&lt;VLOOKUP(M$5,NFI,5,0),1,0)*Data_NFI_t[[#This Row],[Tarpaulin]],0)</f>
        <v>0</v>
      </c>
      <c r="Y333" s="131">
        <f>IF(NFI_Expiration=1,IF($A333&lt;VLOOKUP(N$5,NFI,5,0),1,0)*Data_NFI_t[[#This Row],[Blanket]],0)</f>
        <v>0</v>
      </c>
      <c r="Z333" s="131">
        <f>IF(NFI_Expiration=1,IF($A333&lt;VLOOKUP(O$5,NFI,5,0),1,0)*Data_NFI_t[[#This Row],[Kitchen Set]],0)</f>
        <v>0</v>
      </c>
      <c r="AA333" s="131">
        <f>IF(NFI_Expiration=1,IF($A333&lt;VLOOKUP(P$5,NFI,5,0),1,0)*Data_NFI_t[[#This Row],[Complementary Kit]],0)</f>
        <v>0</v>
      </c>
      <c r="AB333" s="131">
        <f>IF(NFI_Expiration=1,IF($A333&lt;VLOOKUP(Q$5,NFI,5,0),1,0)*Data_NFI_t[[#This Row],[Plastic Bucket]],0)</f>
        <v>0</v>
      </c>
      <c r="AC333" s="131">
        <f>IF(NFI_Expiration=1,IF($A333&lt;VLOOKUP(R$5,NFI,5,0),1,0)*Data_NFI_t[[#This Row],[Jerry Can]],0)</f>
        <v>0</v>
      </c>
      <c r="AD333" s="150">
        <f>IF(NFI_Expiration=1,IF($A333&lt;VLOOKUP(S$5,NFI,5,0),1,0)*Data_NFI_t[[#This Row],[Plastic Mat]],0)*IF(Data_NFI_t[[#This Row],[Distribution Date]]&gt;"01-04-2014",1,2.5)</f>
        <v>0</v>
      </c>
      <c r="AE333" s="150" t="str">
        <f ca="1">IFERROR(OFFSET(Camp_List[P_Code],MATCH(Data_NFI_t[[#This Row],[Camp Name]],Camp_List[Camp Name],0)-1,0,1,1),"")</f>
        <v>MMR012CMP039</v>
      </c>
      <c r="AF333" s="714" t="str">
        <f ca="1">IFERROR(OFFSET(Camp_List[Status],MATCH(Data_NFI_t[[#This Row],[Camp Name]],Camp_List[Camp Name],0)-1,0,1,1),"")</f>
        <v>Open</v>
      </c>
    </row>
    <row r="334" spans="1:32" s="102" customFormat="1" ht="15" customHeight="1" x14ac:dyDescent="0.25">
      <c r="A334" s="265">
        <f t="shared" si="5"/>
        <v>41</v>
      </c>
      <c r="B334" s="265">
        <f>YEAR(Data_NFI_t[[#This Row],[Distribution Date]])</f>
        <v>2012</v>
      </c>
      <c r="C334" s="738">
        <v>41109</v>
      </c>
      <c r="D334" s="655" t="s">
        <v>288</v>
      </c>
      <c r="E334" s="654"/>
      <c r="F334" s="655" t="s">
        <v>7</v>
      </c>
      <c r="G334" s="31" t="s">
        <v>19</v>
      </c>
      <c r="H334" s="31" t="s">
        <v>70</v>
      </c>
      <c r="I334" s="31"/>
      <c r="J334" s="61"/>
      <c r="K334" s="61"/>
      <c r="L334" s="61"/>
      <c r="M334" s="61">
        <v>572</v>
      </c>
      <c r="N334" s="61"/>
      <c r="O334" s="61"/>
      <c r="P334" s="61"/>
      <c r="Q334" s="61"/>
      <c r="R334" s="708"/>
      <c r="S334" s="61"/>
      <c r="T334" s="150">
        <f>IF(NFI_Expiration=1,IF($A334&lt;VLOOKUP(I$5,NFI,5,0),1,0)*Data_NFI_t[[#This Row],[Hygiene Kit]],0)</f>
        <v>0</v>
      </c>
      <c r="U334" s="150">
        <f>IF(NFI_Expiration=1,IF($A334&lt;VLOOKUP(J$5,NFI,5,0),1,0)*Data_NFI_t[[#This Row],[NFI Core Kit]],0)</f>
        <v>0</v>
      </c>
      <c r="V334" s="131">
        <f>IF(NFI_Expiration=1,IF($A334&lt;VLOOKUP(K$5,NFI,5,0),1,0)*Data_NFI_t[[#This Row],[Sanitary Kit]],0)</f>
        <v>0</v>
      </c>
      <c r="W334" s="131">
        <f>IF(NFI_Expiration=1,IF($A334&lt;VLOOKUP(L$5,NFI,5,0),1,0)*Data_NFI_t[[#This Row],[Mosquito net]],0)</f>
        <v>0</v>
      </c>
      <c r="X334" s="131">
        <f>IF(NFI_Expiration=1,IF($A334&lt;VLOOKUP(M$5,NFI,5,0),1,0)*Data_NFI_t[[#This Row],[Tarpaulin]],0)</f>
        <v>0</v>
      </c>
      <c r="Y334" s="131">
        <f>IF(NFI_Expiration=1,IF($A334&lt;VLOOKUP(N$5,NFI,5,0),1,0)*Data_NFI_t[[#This Row],[Blanket]],0)</f>
        <v>0</v>
      </c>
      <c r="Z334" s="131">
        <f>IF(NFI_Expiration=1,IF($A334&lt;VLOOKUP(O$5,NFI,5,0),1,0)*Data_NFI_t[[#This Row],[Kitchen Set]],0)</f>
        <v>0</v>
      </c>
      <c r="AA334" s="131">
        <f>IF(NFI_Expiration=1,IF($A334&lt;VLOOKUP(P$5,NFI,5,0),1,0)*Data_NFI_t[[#This Row],[Complementary Kit]],0)</f>
        <v>0</v>
      </c>
      <c r="AB334" s="131">
        <f>IF(NFI_Expiration=1,IF($A334&lt;VLOOKUP(Q$5,NFI,5,0),1,0)*Data_NFI_t[[#This Row],[Plastic Bucket]],0)</f>
        <v>0</v>
      </c>
      <c r="AC334" s="131">
        <f>IF(NFI_Expiration=1,IF($A334&lt;VLOOKUP(R$5,NFI,5,0),1,0)*Data_NFI_t[[#This Row],[Jerry Can]],0)</f>
        <v>0</v>
      </c>
      <c r="AD334" s="150">
        <f>IF(NFI_Expiration=1,IF($A334&lt;VLOOKUP(S$5,NFI,5,0),1,0)*Data_NFI_t[[#This Row],[Plastic Mat]],0)*IF(Data_NFI_t[[#This Row],[Distribution Date]]&gt;"01-04-2014",1,2.5)</f>
        <v>0</v>
      </c>
      <c r="AE334" s="150" t="str">
        <f ca="1">IFERROR(OFFSET(Camp_List[P_Code],MATCH(Data_NFI_t[[#This Row],[Camp Name]],Camp_List[Camp Name],0)-1,0,1,1),"")</f>
        <v>MMR012CMP048</v>
      </c>
      <c r="AF334" s="714" t="str">
        <f ca="1">IFERROR(OFFSET(Camp_List[Status],MATCH(Data_NFI_t[[#This Row],[Camp Name]],Camp_List[Camp Name],0)-1,0,1,1),"")</f>
        <v>Open</v>
      </c>
    </row>
    <row r="335" spans="1:32" s="102" customFormat="1" ht="15" customHeight="1" x14ac:dyDescent="0.25">
      <c r="A335" s="265">
        <f t="shared" si="5"/>
        <v>41.033333333333331</v>
      </c>
      <c r="B335" s="265">
        <f>YEAR(Data_NFI_t[[#This Row],[Distribution Date]])</f>
        <v>2012</v>
      </c>
      <c r="C335" s="738">
        <v>41108</v>
      </c>
      <c r="D335" s="655" t="s">
        <v>288</v>
      </c>
      <c r="E335" s="654"/>
      <c r="F335" s="655" t="s">
        <v>7</v>
      </c>
      <c r="G335" s="31" t="s">
        <v>19</v>
      </c>
      <c r="H335" s="31" t="s">
        <v>62</v>
      </c>
      <c r="I335" s="31"/>
      <c r="J335" s="61"/>
      <c r="K335" s="61"/>
      <c r="L335" s="61"/>
      <c r="M335" s="61">
        <v>248</v>
      </c>
      <c r="N335" s="61"/>
      <c r="O335" s="61"/>
      <c r="P335" s="61"/>
      <c r="Q335" s="61"/>
      <c r="R335" s="708"/>
      <c r="S335" s="61"/>
      <c r="T335" s="150">
        <f>IF(NFI_Expiration=1,IF($A335&lt;VLOOKUP(I$5,NFI,5,0),1,0)*Data_NFI_t[[#This Row],[Hygiene Kit]],0)</f>
        <v>0</v>
      </c>
      <c r="U335" s="150">
        <f>IF(NFI_Expiration=1,IF($A335&lt;VLOOKUP(J$5,NFI,5,0),1,0)*Data_NFI_t[[#This Row],[NFI Core Kit]],0)</f>
        <v>0</v>
      </c>
      <c r="V335" s="131">
        <f>IF(NFI_Expiration=1,IF($A335&lt;VLOOKUP(K$5,NFI,5,0),1,0)*Data_NFI_t[[#This Row],[Sanitary Kit]],0)</f>
        <v>0</v>
      </c>
      <c r="W335" s="131">
        <f>IF(NFI_Expiration=1,IF($A335&lt;VLOOKUP(L$5,NFI,5,0),1,0)*Data_NFI_t[[#This Row],[Mosquito net]],0)</f>
        <v>0</v>
      </c>
      <c r="X335" s="131">
        <f>IF(NFI_Expiration=1,IF($A335&lt;VLOOKUP(M$5,NFI,5,0),1,0)*Data_NFI_t[[#This Row],[Tarpaulin]],0)</f>
        <v>0</v>
      </c>
      <c r="Y335" s="131">
        <f>IF(NFI_Expiration=1,IF($A335&lt;VLOOKUP(N$5,NFI,5,0),1,0)*Data_NFI_t[[#This Row],[Blanket]],0)</f>
        <v>0</v>
      </c>
      <c r="Z335" s="131">
        <f>IF(NFI_Expiration=1,IF($A335&lt;VLOOKUP(O$5,NFI,5,0),1,0)*Data_NFI_t[[#This Row],[Kitchen Set]],0)</f>
        <v>0</v>
      </c>
      <c r="AA335" s="131">
        <f>IF(NFI_Expiration=1,IF($A335&lt;VLOOKUP(P$5,NFI,5,0),1,0)*Data_NFI_t[[#This Row],[Complementary Kit]],0)</f>
        <v>0</v>
      </c>
      <c r="AB335" s="131">
        <f>IF(NFI_Expiration=1,IF($A335&lt;VLOOKUP(Q$5,NFI,5,0),1,0)*Data_NFI_t[[#This Row],[Plastic Bucket]],0)</f>
        <v>0</v>
      </c>
      <c r="AC335" s="131">
        <f>IF(NFI_Expiration=1,IF($A335&lt;VLOOKUP(R$5,NFI,5,0),1,0)*Data_NFI_t[[#This Row],[Jerry Can]],0)</f>
        <v>0</v>
      </c>
      <c r="AD335" s="150">
        <f>IF(NFI_Expiration=1,IF($A335&lt;VLOOKUP(S$5,NFI,5,0),1,0)*Data_NFI_t[[#This Row],[Plastic Mat]],0)*IF(Data_NFI_t[[#This Row],[Distribution Date]]&gt;"01-04-2014",1,2.5)</f>
        <v>0</v>
      </c>
      <c r="AE335" s="150" t="str">
        <f ca="1">IFERROR(OFFSET(Camp_List[P_Code],MATCH(Data_NFI_t[[#This Row],[Camp Name]],Camp_List[Camp Name],0)-1,0,1,1),"")</f>
        <v>MMR012CMP040</v>
      </c>
      <c r="AF335" s="714" t="str">
        <f ca="1">IFERROR(OFFSET(Camp_List[Status],MATCH(Data_NFI_t[[#This Row],[Camp Name]],Camp_List[Camp Name],0)-1,0,1,1),"")</f>
        <v>Close</v>
      </c>
    </row>
    <row r="336" spans="1:32" s="102" customFormat="1" ht="15" customHeight="1" x14ac:dyDescent="0.25">
      <c r="A336" s="265">
        <f t="shared" si="5"/>
        <v>41.033333333333331</v>
      </c>
      <c r="B336" s="265">
        <f>YEAR(Data_NFI_t[[#This Row],[Distribution Date]])</f>
        <v>2012</v>
      </c>
      <c r="C336" s="738">
        <v>41108</v>
      </c>
      <c r="D336" s="655" t="s">
        <v>288</v>
      </c>
      <c r="E336" s="654"/>
      <c r="F336" s="655" t="s">
        <v>7</v>
      </c>
      <c r="G336" s="31" t="s">
        <v>19</v>
      </c>
      <c r="H336" s="31" t="s">
        <v>64</v>
      </c>
      <c r="I336" s="31"/>
      <c r="J336" s="61"/>
      <c r="K336" s="61"/>
      <c r="L336" s="61"/>
      <c r="M336" s="61">
        <v>121</v>
      </c>
      <c r="N336" s="61"/>
      <c r="O336" s="61"/>
      <c r="P336" s="61"/>
      <c r="Q336" s="61"/>
      <c r="R336" s="708"/>
      <c r="S336" s="61"/>
      <c r="T336" s="150">
        <f>IF(NFI_Expiration=1,IF($A336&lt;VLOOKUP(I$5,NFI,5,0),1,0)*Data_NFI_t[[#This Row],[Hygiene Kit]],0)</f>
        <v>0</v>
      </c>
      <c r="U336" s="150">
        <f>IF(NFI_Expiration=1,IF($A336&lt;VLOOKUP(J$5,NFI,5,0),1,0)*Data_NFI_t[[#This Row],[NFI Core Kit]],0)</f>
        <v>0</v>
      </c>
      <c r="V336" s="131">
        <f>IF(NFI_Expiration=1,IF($A336&lt;VLOOKUP(K$5,NFI,5,0),1,0)*Data_NFI_t[[#This Row],[Sanitary Kit]],0)</f>
        <v>0</v>
      </c>
      <c r="W336" s="131">
        <f>IF(NFI_Expiration=1,IF($A336&lt;VLOOKUP(L$5,NFI,5,0),1,0)*Data_NFI_t[[#This Row],[Mosquito net]],0)</f>
        <v>0</v>
      </c>
      <c r="X336" s="131">
        <f>IF(NFI_Expiration=1,IF($A336&lt;VLOOKUP(M$5,NFI,5,0),1,0)*Data_NFI_t[[#This Row],[Tarpaulin]],0)</f>
        <v>0</v>
      </c>
      <c r="Y336" s="131">
        <f>IF(NFI_Expiration=1,IF($A336&lt;VLOOKUP(N$5,NFI,5,0),1,0)*Data_NFI_t[[#This Row],[Blanket]],0)</f>
        <v>0</v>
      </c>
      <c r="Z336" s="131">
        <f>IF(NFI_Expiration=1,IF($A336&lt;VLOOKUP(O$5,NFI,5,0),1,0)*Data_NFI_t[[#This Row],[Kitchen Set]],0)</f>
        <v>0</v>
      </c>
      <c r="AA336" s="131">
        <f>IF(NFI_Expiration=1,IF($A336&lt;VLOOKUP(P$5,NFI,5,0),1,0)*Data_NFI_t[[#This Row],[Complementary Kit]],0)</f>
        <v>0</v>
      </c>
      <c r="AB336" s="131">
        <f>IF(NFI_Expiration=1,IF($A336&lt;VLOOKUP(Q$5,NFI,5,0),1,0)*Data_NFI_t[[#This Row],[Plastic Bucket]],0)</f>
        <v>0</v>
      </c>
      <c r="AC336" s="131">
        <f>IF(NFI_Expiration=1,IF($A336&lt;VLOOKUP(R$5,NFI,5,0),1,0)*Data_NFI_t[[#This Row],[Jerry Can]],0)</f>
        <v>0</v>
      </c>
      <c r="AD336" s="150">
        <f>IF(NFI_Expiration=1,IF($A336&lt;VLOOKUP(S$5,NFI,5,0),1,0)*Data_NFI_t[[#This Row],[Plastic Mat]],0)*IF(Data_NFI_t[[#This Row],[Distribution Date]]&gt;"01-04-2014",1,2.5)</f>
        <v>0</v>
      </c>
      <c r="AE336" s="150" t="str">
        <f ca="1">IFERROR(OFFSET(Camp_List[P_Code],MATCH(Data_NFI_t[[#This Row],[Camp Name]],Camp_List[Camp Name],0)-1,0,1,1),"")</f>
        <v>MMR012CMP042</v>
      </c>
      <c r="AF336" s="714" t="str">
        <f ca="1">IFERROR(OFFSET(Camp_List[Status],MATCH(Data_NFI_t[[#This Row],[Camp Name]],Camp_List[Camp Name],0)-1,0,1,1),"")</f>
        <v>Open</v>
      </c>
    </row>
    <row r="337" spans="1:36" s="102" customFormat="1" ht="15" customHeight="1" x14ac:dyDescent="0.25">
      <c r="A337" s="265">
        <f t="shared" si="5"/>
        <v>41.06666666666667</v>
      </c>
      <c r="B337" s="265">
        <f>YEAR(Data_NFI_t[[#This Row],[Distribution Date]])</f>
        <v>2012</v>
      </c>
      <c r="C337" s="738">
        <v>41107</v>
      </c>
      <c r="D337" s="655" t="s">
        <v>288</v>
      </c>
      <c r="E337" s="654"/>
      <c r="F337" s="655" t="s">
        <v>7</v>
      </c>
      <c r="G337" s="31" t="s">
        <v>19</v>
      </c>
      <c r="H337" s="31" t="s">
        <v>62</v>
      </c>
      <c r="I337" s="31"/>
      <c r="J337" s="61"/>
      <c r="K337" s="61"/>
      <c r="L337" s="61"/>
      <c r="M337" s="61">
        <v>630</v>
      </c>
      <c r="N337" s="61"/>
      <c r="O337" s="61"/>
      <c r="P337" s="61"/>
      <c r="Q337" s="61"/>
      <c r="R337" s="708"/>
      <c r="S337" s="61"/>
      <c r="T337" s="150">
        <f>IF(NFI_Expiration=1,IF($A337&lt;VLOOKUP(I$5,NFI,5,0),1,0)*Data_NFI_t[[#This Row],[Hygiene Kit]],0)</f>
        <v>0</v>
      </c>
      <c r="U337" s="150">
        <f>IF(NFI_Expiration=1,IF($A337&lt;VLOOKUP(J$5,NFI,5,0),1,0)*Data_NFI_t[[#This Row],[NFI Core Kit]],0)</f>
        <v>0</v>
      </c>
      <c r="V337" s="131">
        <f>IF(NFI_Expiration=1,IF($A337&lt;VLOOKUP(K$5,NFI,5,0),1,0)*Data_NFI_t[[#This Row],[Sanitary Kit]],0)</f>
        <v>0</v>
      </c>
      <c r="W337" s="131">
        <f>IF(NFI_Expiration=1,IF($A337&lt;VLOOKUP(L$5,NFI,5,0),1,0)*Data_NFI_t[[#This Row],[Mosquito net]],0)</f>
        <v>0</v>
      </c>
      <c r="X337" s="131">
        <f>IF(NFI_Expiration=1,IF($A337&lt;VLOOKUP(M$5,NFI,5,0),1,0)*Data_NFI_t[[#This Row],[Tarpaulin]],0)</f>
        <v>0</v>
      </c>
      <c r="Y337" s="131">
        <f>IF(NFI_Expiration=1,IF($A337&lt;VLOOKUP(N$5,NFI,5,0),1,0)*Data_NFI_t[[#This Row],[Blanket]],0)</f>
        <v>0</v>
      </c>
      <c r="Z337" s="131">
        <f>IF(NFI_Expiration=1,IF($A337&lt;VLOOKUP(O$5,NFI,5,0),1,0)*Data_NFI_t[[#This Row],[Kitchen Set]],0)</f>
        <v>0</v>
      </c>
      <c r="AA337" s="131">
        <f>IF(NFI_Expiration=1,IF($A337&lt;VLOOKUP(P$5,NFI,5,0),1,0)*Data_NFI_t[[#This Row],[Complementary Kit]],0)</f>
        <v>0</v>
      </c>
      <c r="AB337" s="131">
        <f>IF(NFI_Expiration=1,IF($A337&lt;VLOOKUP(Q$5,NFI,5,0),1,0)*Data_NFI_t[[#This Row],[Plastic Bucket]],0)</f>
        <v>0</v>
      </c>
      <c r="AC337" s="131">
        <f>IF(NFI_Expiration=1,IF($A337&lt;VLOOKUP(R$5,NFI,5,0),1,0)*Data_NFI_t[[#This Row],[Jerry Can]],0)</f>
        <v>0</v>
      </c>
      <c r="AD337" s="150">
        <f>IF(NFI_Expiration=1,IF($A337&lt;VLOOKUP(S$5,NFI,5,0),1,0)*Data_NFI_t[[#This Row],[Plastic Mat]],0)*IF(Data_NFI_t[[#This Row],[Distribution Date]]&gt;"01-04-2014",1,2.5)</f>
        <v>0</v>
      </c>
      <c r="AE337" s="150" t="str">
        <f ca="1">IFERROR(OFFSET(Camp_List[P_Code],MATCH(Data_NFI_t[[#This Row],[Camp Name]],Camp_List[Camp Name],0)-1,0,1,1),"")</f>
        <v>MMR012CMP040</v>
      </c>
      <c r="AF337" s="714" t="str">
        <f ca="1">IFERROR(OFFSET(Camp_List[Status],MATCH(Data_NFI_t[[#This Row],[Camp Name]],Camp_List[Camp Name],0)-1,0,1,1),"")</f>
        <v>Close</v>
      </c>
    </row>
    <row r="338" spans="1:36" s="102" customFormat="1" ht="15" customHeight="1" x14ac:dyDescent="0.25">
      <c r="A338" s="265">
        <f t="shared" si="5"/>
        <v>41.1</v>
      </c>
      <c r="B338" s="265">
        <f>YEAR(Data_NFI_t[[#This Row],[Distribution Date]])</f>
        <v>2012</v>
      </c>
      <c r="C338" s="738">
        <v>41106</v>
      </c>
      <c r="D338" s="655" t="s">
        <v>288</v>
      </c>
      <c r="E338" s="654"/>
      <c r="F338" s="655" t="s">
        <v>7</v>
      </c>
      <c r="G338" s="31" t="s">
        <v>19</v>
      </c>
      <c r="H338" s="31" t="s">
        <v>62</v>
      </c>
      <c r="I338" s="31"/>
      <c r="J338" s="61"/>
      <c r="K338" s="61"/>
      <c r="L338" s="61"/>
      <c r="M338" s="61">
        <v>120</v>
      </c>
      <c r="N338" s="61"/>
      <c r="O338" s="61"/>
      <c r="P338" s="61"/>
      <c r="Q338" s="61"/>
      <c r="R338" s="708"/>
      <c r="S338" s="61"/>
      <c r="T338" s="150">
        <f>IF(NFI_Expiration=1,IF($A338&lt;VLOOKUP(I$5,NFI,5,0),1,0)*Data_NFI_t[[#This Row],[Hygiene Kit]],0)</f>
        <v>0</v>
      </c>
      <c r="U338" s="150">
        <f>IF(NFI_Expiration=1,IF($A338&lt;VLOOKUP(J$5,NFI,5,0),1,0)*Data_NFI_t[[#This Row],[NFI Core Kit]],0)</f>
        <v>0</v>
      </c>
      <c r="V338" s="131">
        <f>IF(NFI_Expiration=1,IF($A338&lt;VLOOKUP(K$5,NFI,5,0),1,0)*Data_NFI_t[[#This Row],[Sanitary Kit]],0)</f>
        <v>0</v>
      </c>
      <c r="W338" s="131">
        <f>IF(NFI_Expiration=1,IF($A338&lt;VLOOKUP(L$5,NFI,5,0),1,0)*Data_NFI_t[[#This Row],[Mosquito net]],0)</f>
        <v>0</v>
      </c>
      <c r="X338" s="131">
        <f>IF(NFI_Expiration=1,IF($A338&lt;VLOOKUP(M$5,NFI,5,0),1,0)*Data_NFI_t[[#This Row],[Tarpaulin]],0)</f>
        <v>0</v>
      </c>
      <c r="Y338" s="131">
        <f>IF(NFI_Expiration=1,IF($A338&lt;VLOOKUP(N$5,NFI,5,0),1,0)*Data_NFI_t[[#This Row],[Blanket]],0)</f>
        <v>0</v>
      </c>
      <c r="Z338" s="131">
        <f>IF(NFI_Expiration=1,IF($A338&lt;VLOOKUP(O$5,NFI,5,0),1,0)*Data_NFI_t[[#This Row],[Kitchen Set]],0)</f>
        <v>0</v>
      </c>
      <c r="AA338" s="131">
        <f>IF(NFI_Expiration=1,IF($A338&lt;VLOOKUP(P$5,NFI,5,0),1,0)*Data_NFI_t[[#This Row],[Complementary Kit]],0)</f>
        <v>0</v>
      </c>
      <c r="AB338" s="131">
        <f>IF(NFI_Expiration=1,IF($A338&lt;VLOOKUP(Q$5,NFI,5,0),1,0)*Data_NFI_t[[#This Row],[Plastic Bucket]],0)</f>
        <v>0</v>
      </c>
      <c r="AC338" s="131">
        <f>IF(NFI_Expiration=1,IF($A338&lt;VLOOKUP(R$5,NFI,5,0),1,0)*Data_NFI_t[[#This Row],[Jerry Can]],0)</f>
        <v>0</v>
      </c>
      <c r="AD338" s="150">
        <f>IF(NFI_Expiration=1,IF($A338&lt;VLOOKUP(S$5,NFI,5,0),1,0)*Data_NFI_t[[#This Row],[Plastic Mat]],0)*IF(Data_NFI_t[[#This Row],[Distribution Date]]&gt;"01-04-2014",1,2.5)</f>
        <v>0</v>
      </c>
      <c r="AE338" s="150" t="str">
        <f ca="1">IFERROR(OFFSET(Camp_List[P_Code],MATCH(Data_NFI_t[[#This Row],[Camp Name]],Camp_List[Camp Name],0)-1,0,1,1),"")</f>
        <v>MMR012CMP040</v>
      </c>
      <c r="AF338" s="714" t="str">
        <f ca="1">IFERROR(OFFSET(Camp_List[Status],MATCH(Data_NFI_t[[#This Row],[Camp Name]],Camp_List[Camp Name],0)-1,0,1,1),"")</f>
        <v>Close</v>
      </c>
    </row>
    <row r="339" spans="1:36" s="102" customFormat="1" ht="15" customHeight="1" x14ac:dyDescent="0.25">
      <c r="A339" s="265">
        <f t="shared" si="5"/>
        <v>41.133333333333333</v>
      </c>
      <c r="B339" s="265">
        <f>YEAR(Data_NFI_t[[#This Row],[Distribution Date]])</f>
        <v>2012</v>
      </c>
      <c r="C339" s="738">
        <v>41105</v>
      </c>
      <c r="D339" s="655" t="s">
        <v>288</v>
      </c>
      <c r="E339" s="654"/>
      <c r="F339" s="655" t="s">
        <v>7</v>
      </c>
      <c r="G339" s="31" t="s">
        <v>19</v>
      </c>
      <c r="H339" s="31" t="s">
        <v>62</v>
      </c>
      <c r="I339" s="31"/>
      <c r="J339" s="61"/>
      <c r="K339" s="61"/>
      <c r="L339" s="61"/>
      <c r="M339" s="61">
        <v>150</v>
      </c>
      <c r="N339" s="61"/>
      <c r="O339" s="61"/>
      <c r="P339" s="61"/>
      <c r="Q339" s="61"/>
      <c r="R339" s="708"/>
      <c r="S339" s="61"/>
      <c r="T339" s="150">
        <f>IF(NFI_Expiration=1,IF($A339&lt;VLOOKUP(I$5,NFI,5,0),1,0)*Data_NFI_t[[#This Row],[Hygiene Kit]],0)</f>
        <v>0</v>
      </c>
      <c r="U339" s="150">
        <f>IF(NFI_Expiration=1,IF($A339&lt;VLOOKUP(J$5,NFI,5,0),1,0)*Data_NFI_t[[#This Row],[NFI Core Kit]],0)</f>
        <v>0</v>
      </c>
      <c r="V339" s="131">
        <f>IF(NFI_Expiration=1,IF($A339&lt;VLOOKUP(K$5,NFI,5,0),1,0)*Data_NFI_t[[#This Row],[Sanitary Kit]],0)</f>
        <v>0</v>
      </c>
      <c r="W339" s="131">
        <f>IF(NFI_Expiration=1,IF($A339&lt;VLOOKUP(L$5,NFI,5,0),1,0)*Data_NFI_t[[#This Row],[Mosquito net]],0)</f>
        <v>0</v>
      </c>
      <c r="X339" s="131">
        <f>IF(NFI_Expiration=1,IF($A339&lt;VLOOKUP(M$5,NFI,5,0),1,0)*Data_NFI_t[[#This Row],[Tarpaulin]],0)</f>
        <v>0</v>
      </c>
      <c r="Y339" s="131">
        <f>IF(NFI_Expiration=1,IF($A339&lt;VLOOKUP(N$5,NFI,5,0),1,0)*Data_NFI_t[[#This Row],[Blanket]],0)</f>
        <v>0</v>
      </c>
      <c r="Z339" s="131">
        <f>IF(NFI_Expiration=1,IF($A339&lt;VLOOKUP(O$5,NFI,5,0),1,0)*Data_NFI_t[[#This Row],[Kitchen Set]],0)</f>
        <v>0</v>
      </c>
      <c r="AA339" s="131">
        <f>IF(NFI_Expiration=1,IF($A339&lt;VLOOKUP(P$5,NFI,5,0),1,0)*Data_NFI_t[[#This Row],[Complementary Kit]],0)</f>
        <v>0</v>
      </c>
      <c r="AB339" s="131">
        <f>IF(NFI_Expiration=1,IF($A339&lt;VLOOKUP(Q$5,NFI,5,0),1,0)*Data_NFI_t[[#This Row],[Plastic Bucket]],0)</f>
        <v>0</v>
      </c>
      <c r="AC339" s="131">
        <f>IF(NFI_Expiration=1,IF($A339&lt;VLOOKUP(R$5,NFI,5,0),1,0)*Data_NFI_t[[#This Row],[Jerry Can]],0)</f>
        <v>0</v>
      </c>
      <c r="AD339" s="150">
        <f>IF(NFI_Expiration=1,IF($A339&lt;VLOOKUP(S$5,NFI,5,0),1,0)*Data_NFI_t[[#This Row],[Plastic Mat]],0)*IF(Data_NFI_t[[#This Row],[Distribution Date]]&gt;"01-04-2014",1,2.5)</f>
        <v>0</v>
      </c>
      <c r="AE339" s="150" t="str">
        <f ca="1">IFERROR(OFFSET(Camp_List[P_Code],MATCH(Data_NFI_t[[#This Row],[Camp Name]],Camp_List[Camp Name],0)-1,0,1,1),"")</f>
        <v>MMR012CMP040</v>
      </c>
      <c r="AF339" s="714" t="str">
        <f ca="1">IFERROR(OFFSET(Camp_List[Status],MATCH(Data_NFI_t[[#This Row],[Camp Name]],Camp_List[Camp Name],0)-1,0,1,1),"")</f>
        <v>Close</v>
      </c>
    </row>
    <row r="340" spans="1:36" s="102" customFormat="1" ht="15" customHeight="1" x14ac:dyDescent="0.25">
      <c r="A340" s="265">
        <f t="shared" si="5"/>
        <v>41.133333333333333</v>
      </c>
      <c r="B340" s="265">
        <f>YEAR(Data_NFI_t[[#This Row],[Distribution Date]])</f>
        <v>2012</v>
      </c>
      <c r="C340" s="738">
        <v>41105</v>
      </c>
      <c r="D340" s="655" t="s">
        <v>288</v>
      </c>
      <c r="E340" s="654"/>
      <c r="F340" s="655" t="s">
        <v>7</v>
      </c>
      <c r="G340" s="31" t="s">
        <v>19</v>
      </c>
      <c r="H340" s="31" t="s">
        <v>70</v>
      </c>
      <c r="I340" s="31"/>
      <c r="J340" s="61"/>
      <c r="K340" s="61"/>
      <c r="L340" s="61"/>
      <c r="M340" s="61">
        <v>200</v>
      </c>
      <c r="N340" s="61"/>
      <c r="O340" s="61"/>
      <c r="P340" s="61"/>
      <c r="Q340" s="61"/>
      <c r="R340" s="708"/>
      <c r="S340" s="61"/>
      <c r="T340" s="150">
        <f>IF(NFI_Expiration=1,IF($A340&lt;VLOOKUP(I$5,NFI,5,0),1,0)*Data_NFI_t[[#This Row],[Hygiene Kit]],0)</f>
        <v>0</v>
      </c>
      <c r="U340" s="150">
        <f>IF(NFI_Expiration=1,IF($A340&lt;VLOOKUP(J$5,NFI,5,0),1,0)*Data_NFI_t[[#This Row],[NFI Core Kit]],0)</f>
        <v>0</v>
      </c>
      <c r="V340" s="131">
        <f>IF(NFI_Expiration=1,IF($A340&lt;VLOOKUP(K$5,NFI,5,0),1,0)*Data_NFI_t[[#This Row],[Sanitary Kit]],0)</f>
        <v>0</v>
      </c>
      <c r="W340" s="131">
        <f>IF(NFI_Expiration=1,IF($A340&lt;VLOOKUP(L$5,NFI,5,0),1,0)*Data_NFI_t[[#This Row],[Mosquito net]],0)</f>
        <v>0</v>
      </c>
      <c r="X340" s="131">
        <f>IF(NFI_Expiration=1,IF($A340&lt;VLOOKUP(M$5,NFI,5,0),1,0)*Data_NFI_t[[#This Row],[Tarpaulin]],0)</f>
        <v>0</v>
      </c>
      <c r="Y340" s="131">
        <f>IF(NFI_Expiration=1,IF($A340&lt;VLOOKUP(N$5,NFI,5,0),1,0)*Data_NFI_t[[#This Row],[Blanket]],0)</f>
        <v>0</v>
      </c>
      <c r="Z340" s="131">
        <f>IF(NFI_Expiration=1,IF($A340&lt;VLOOKUP(O$5,NFI,5,0),1,0)*Data_NFI_t[[#This Row],[Kitchen Set]],0)</f>
        <v>0</v>
      </c>
      <c r="AA340" s="131">
        <f>IF(NFI_Expiration=1,IF($A340&lt;VLOOKUP(P$5,NFI,5,0),1,0)*Data_NFI_t[[#This Row],[Complementary Kit]],0)</f>
        <v>0</v>
      </c>
      <c r="AB340" s="131">
        <f>IF(NFI_Expiration=1,IF($A340&lt;VLOOKUP(Q$5,NFI,5,0),1,0)*Data_NFI_t[[#This Row],[Plastic Bucket]],0)</f>
        <v>0</v>
      </c>
      <c r="AC340" s="131">
        <f>IF(NFI_Expiration=1,IF($A340&lt;VLOOKUP(R$5,NFI,5,0),1,0)*Data_NFI_t[[#This Row],[Jerry Can]],0)</f>
        <v>0</v>
      </c>
      <c r="AD340" s="150">
        <f>IF(NFI_Expiration=1,IF($A340&lt;VLOOKUP(S$5,NFI,5,0),1,0)*Data_NFI_t[[#This Row],[Plastic Mat]],0)*IF(Data_NFI_t[[#This Row],[Distribution Date]]&gt;"01-04-2014",1,2.5)</f>
        <v>0</v>
      </c>
      <c r="AE340" s="150" t="str">
        <f ca="1">IFERROR(OFFSET(Camp_List[P_Code],MATCH(Data_NFI_t[[#This Row],[Camp Name]],Camp_List[Camp Name],0)-1,0,1,1),"")</f>
        <v>MMR012CMP048</v>
      </c>
      <c r="AF340" s="714" t="str">
        <f ca="1">IFERROR(OFFSET(Camp_List[Status],MATCH(Data_NFI_t[[#This Row],[Camp Name]],Camp_List[Camp Name],0)-1,0,1,1),"")</f>
        <v>Open</v>
      </c>
    </row>
    <row r="341" spans="1:36" s="102" customFormat="1" ht="15" customHeight="1" x14ac:dyDescent="0.25">
      <c r="A341" s="265">
        <f t="shared" si="5"/>
        <v>41.233333333333334</v>
      </c>
      <c r="B341" s="265">
        <f>YEAR(Data_NFI_t[[#This Row],[Distribution Date]])</f>
        <v>2012</v>
      </c>
      <c r="C341" s="738">
        <v>41102</v>
      </c>
      <c r="D341" s="655" t="s">
        <v>288</v>
      </c>
      <c r="E341" s="654"/>
      <c r="F341" s="655" t="s">
        <v>7</v>
      </c>
      <c r="G341" s="31" t="s">
        <v>19</v>
      </c>
      <c r="H341" s="31" t="s">
        <v>276</v>
      </c>
      <c r="I341" s="31"/>
      <c r="J341" s="61"/>
      <c r="K341" s="61"/>
      <c r="L341" s="61"/>
      <c r="M341" s="61">
        <v>4</v>
      </c>
      <c r="N341" s="61"/>
      <c r="O341" s="61"/>
      <c r="P341" s="61"/>
      <c r="Q341" s="61"/>
      <c r="R341" s="708"/>
      <c r="S341" s="61"/>
      <c r="T341" s="150">
        <f>IF(NFI_Expiration=1,IF($A341&lt;VLOOKUP(I$5,NFI,5,0),1,0)*Data_NFI_t[[#This Row],[Hygiene Kit]],0)</f>
        <v>0</v>
      </c>
      <c r="U341" s="150">
        <f>IF(NFI_Expiration=1,IF($A341&lt;VLOOKUP(J$5,NFI,5,0),1,0)*Data_NFI_t[[#This Row],[NFI Core Kit]],0)</f>
        <v>0</v>
      </c>
      <c r="V341" s="131">
        <f>IF(NFI_Expiration=1,IF($A341&lt;VLOOKUP(K$5,NFI,5,0),1,0)*Data_NFI_t[[#This Row],[Sanitary Kit]],0)</f>
        <v>0</v>
      </c>
      <c r="W341" s="131">
        <f>IF(NFI_Expiration=1,IF($A341&lt;VLOOKUP(L$5,NFI,5,0),1,0)*Data_NFI_t[[#This Row],[Mosquito net]],0)</f>
        <v>0</v>
      </c>
      <c r="X341" s="131">
        <f>IF(NFI_Expiration=1,IF($A341&lt;VLOOKUP(M$5,NFI,5,0),1,0)*Data_NFI_t[[#This Row],[Tarpaulin]],0)</f>
        <v>0</v>
      </c>
      <c r="Y341" s="131">
        <f>IF(NFI_Expiration=1,IF($A341&lt;VLOOKUP(N$5,NFI,5,0),1,0)*Data_NFI_t[[#This Row],[Blanket]],0)</f>
        <v>0</v>
      </c>
      <c r="Z341" s="131">
        <f>IF(NFI_Expiration=1,IF($A341&lt;VLOOKUP(O$5,NFI,5,0),1,0)*Data_NFI_t[[#This Row],[Kitchen Set]],0)</f>
        <v>0</v>
      </c>
      <c r="AA341" s="131">
        <f>IF(NFI_Expiration=1,IF($A341&lt;VLOOKUP(P$5,NFI,5,0),1,0)*Data_NFI_t[[#This Row],[Complementary Kit]],0)</f>
        <v>0</v>
      </c>
      <c r="AB341" s="131">
        <f>IF(NFI_Expiration=1,IF($A341&lt;VLOOKUP(Q$5,NFI,5,0),1,0)*Data_NFI_t[[#This Row],[Plastic Bucket]],0)</f>
        <v>0</v>
      </c>
      <c r="AC341" s="131">
        <f>IF(NFI_Expiration=1,IF($A341&lt;VLOOKUP(R$5,NFI,5,0),1,0)*Data_NFI_t[[#This Row],[Jerry Can]],0)</f>
        <v>0</v>
      </c>
      <c r="AD341" s="150">
        <f>IF(NFI_Expiration=1,IF($A341&lt;VLOOKUP(S$5,NFI,5,0),1,0)*Data_NFI_t[[#This Row],[Plastic Mat]],0)*IF(Data_NFI_t[[#This Row],[Distribution Date]]&gt;"01-04-2014",1,2.5)</f>
        <v>0</v>
      </c>
      <c r="AE341" s="150" t="str">
        <f ca="1">IFERROR(OFFSET(Camp_List[P_Code],MATCH(Data_NFI_t[[#This Row],[Camp Name]],Camp_List[Camp Name],0)-1,0,1,1),"")</f>
        <v/>
      </c>
      <c r="AF341" s="714" t="str">
        <f ca="1">IFERROR(OFFSET(Camp_List[Status],MATCH(Data_NFI_t[[#This Row],[Camp Name]],Camp_List[Camp Name],0)-1,0,1,1),"")</f>
        <v/>
      </c>
      <c r="AJ341" s="102" t="s">
        <v>938</v>
      </c>
    </row>
    <row r="342" spans="1:36" s="102" customFormat="1" ht="15" customHeight="1" x14ac:dyDescent="0.25">
      <c r="A342" s="265">
        <f t="shared" si="5"/>
        <v>41.266666666666666</v>
      </c>
      <c r="B342" s="265">
        <f>YEAR(Data_NFI_t[[#This Row],[Distribution Date]])</f>
        <v>2012</v>
      </c>
      <c r="C342" s="738">
        <v>41101</v>
      </c>
      <c r="D342" s="655" t="s">
        <v>288</v>
      </c>
      <c r="E342" s="654"/>
      <c r="F342" s="655" t="s">
        <v>7</v>
      </c>
      <c r="G342" s="31" t="s">
        <v>19</v>
      </c>
      <c r="H342" s="31" t="s">
        <v>275</v>
      </c>
      <c r="I342" s="31"/>
      <c r="J342" s="61"/>
      <c r="K342" s="61"/>
      <c r="L342" s="61"/>
      <c r="M342" s="61">
        <v>492</v>
      </c>
      <c r="N342" s="61"/>
      <c r="O342" s="61"/>
      <c r="P342" s="61"/>
      <c r="Q342" s="61"/>
      <c r="R342" s="708"/>
      <c r="S342" s="61"/>
      <c r="T342" s="150">
        <f>IF(NFI_Expiration=1,IF($A342&lt;VLOOKUP(I$5,NFI,5,0),1,0)*Data_NFI_t[[#This Row],[Hygiene Kit]],0)</f>
        <v>0</v>
      </c>
      <c r="U342" s="150">
        <f>IF(NFI_Expiration=1,IF($A342&lt;VLOOKUP(J$5,NFI,5,0),1,0)*Data_NFI_t[[#This Row],[NFI Core Kit]],0)</f>
        <v>0</v>
      </c>
      <c r="V342" s="131">
        <f>IF(NFI_Expiration=1,IF($A342&lt;VLOOKUP(K$5,NFI,5,0),1,0)*Data_NFI_t[[#This Row],[Sanitary Kit]],0)</f>
        <v>0</v>
      </c>
      <c r="W342" s="131">
        <f>IF(NFI_Expiration=1,IF($A342&lt;VLOOKUP(L$5,NFI,5,0),1,0)*Data_NFI_t[[#This Row],[Mosquito net]],0)</f>
        <v>0</v>
      </c>
      <c r="X342" s="131">
        <f>IF(NFI_Expiration=1,IF($A342&lt;VLOOKUP(M$5,NFI,5,0),1,0)*Data_NFI_t[[#This Row],[Tarpaulin]],0)</f>
        <v>0</v>
      </c>
      <c r="Y342" s="131">
        <f>IF(NFI_Expiration=1,IF($A342&lt;VLOOKUP(N$5,NFI,5,0),1,0)*Data_NFI_t[[#This Row],[Blanket]],0)</f>
        <v>0</v>
      </c>
      <c r="Z342" s="131">
        <f>IF(NFI_Expiration=1,IF($A342&lt;VLOOKUP(O$5,NFI,5,0),1,0)*Data_NFI_t[[#This Row],[Kitchen Set]],0)</f>
        <v>0</v>
      </c>
      <c r="AA342" s="131">
        <f>IF(NFI_Expiration=1,IF($A342&lt;VLOOKUP(P$5,NFI,5,0),1,0)*Data_NFI_t[[#This Row],[Complementary Kit]],0)</f>
        <v>0</v>
      </c>
      <c r="AB342" s="131">
        <f>IF(NFI_Expiration=1,IF($A342&lt;VLOOKUP(Q$5,NFI,5,0),1,0)*Data_NFI_t[[#This Row],[Plastic Bucket]],0)</f>
        <v>0</v>
      </c>
      <c r="AC342" s="131">
        <f>IF(NFI_Expiration=1,IF($A342&lt;VLOOKUP(R$5,NFI,5,0),1,0)*Data_NFI_t[[#This Row],[Jerry Can]],0)</f>
        <v>0</v>
      </c>
      <c r="AD342" s="150">
        <f>IF(NFI_Expiration=1,IF($A342&lt;VLOOKUP(S$5,NFI,5,0),1,0)*Data_NFI_t[[#This Row],[Plastic Mat]],0)*IF(Data_NFI_t[[#This Row],[Distribution Date]]&gt;"01-04-2014",1,2.5)</f>
        <v>0</v>
      </c>
      <c r="AE342" s="150" t="str">
        <f ca="1">IFERROR(OFFSET(Camp_List[P_Code],MATCH(Data_NFI_t[[#This Row],[Camp Name]],Camp_List[Camp Name],0)-1,0,1,1),"")</f>
        <v/>
      </c>
      <c r="AF342" s="714" t="str">
        <f ca="1">IFERROR(OFFSET(Camp_List[Status],MATCH(Data_NFI_t[[#This Row],[Camp Name]],Camp_List[Camp Name],0)-1,0,1,1),"")</f>
        <v/>
      </c>
      <c r="AJ342" s="102" t="s">
        <v>938</v>
      </c>
    </row>
    <row r="343" spans="1:36" s="102" customFormat="1" ht="15" customHeight="1" x14ac:dyDescent="0.25">
      <c r="A343" s="265">
        <f t="shared" si="5"/>
        <v>41.3</v>
      </c>
      <c r="B343" s="265">
        <f>YEAR(Data_NFI_t[[#This Row],[Distribution Date]])</f>
        <v>2012</v>
      </c>
      <c r="C343" s="738">
        <v>41100</v>
      </c>
      <c r="D343" s="655" t="s">
        <v>288</v>
      </c>
      <c r="E343" s="654"/>
      <c r="F343" s="655" t="s">
        <v>7</v>
      </c>
      <c r="G343" s="31" t="s">
        <v>19</v>
      </c>
      <c r="H343" s="31" t="s">
        <v>270</v>
      </c>
      <c r="I343" s="31"/>
      <c r="J343" s="61"/>
      <c r="K343" s="61"/>
      <c r="L343" s="61"/>
      <c r="M343" s="61">
        <v>32</v>
      </c>
      <c r="N343" s="61"/>
      <c r="O343" s="61"/>
      <c r="P343" s="61"/>
      <c r="Q343" s="61"/>
      <c r="R343" s="708"/>
      <c r="S343" s="61"/>
      <c r="T343" s="150">
        <f>IF(NFI_Expiration=1,IF($A343&lt;VLOOKUP(I$5,NFI,5,0),1,0)*Data_NFI_t[[#This Row],[Hygiene Kit]],0)</f>
        <v>0</v>
      </c>
      <c r="U343" s="150">
        <f>IF(NFI_Expiration=1,IF($A343&lt;VLOOKUP(J$5,NFI,5,0),1,0)*Data_NFI_t[[#This Row],[NFI Core Kit]],0)</f>
        <v>0</v>
      </c>
      <c r="V343" s="131">
        <f>IF(NFI_Expiration=1,IF($A343&lt;VLOOKUP(K$5,NFI,5,0),1,0)*Data_NFI_t[[#This Row],[Sanitary Kit]],0)</f>
        <v>0</v>
      </c>
      <c r="W343" s="131">
        <f>IF(NFI_Expiration=1,IF($A343&lt;VLOOKUP(L$5,NFI,5,0),1,0)*Data_NFI_t[[#This Row],[Mosquito net]],0)</f>
        <v>0</v>
      </c>
      <c r="X343" s="131">
        <f>IF(NFI_Expiration=1,IF($A343&lt;VLOOKUP(M$5,NFI,5,0),1,0)*Data_NFI_t[[#This Row],[Tarpaulin]],0)</f>
        <v>0</v>
      </c>
      <c r="Y343" s="131">
        <f>IF(NFI_Expiration=1,IF($A343&lt;VLOOKUP(N$5,NFI,5,0),1,0)*Data_NFI_t[[#This Row],[Blanket]],0)</f>
        <v>0</v>
      </c>
      <c r="Z343" s="131">
        <f>IF(NFI_Expiration=1,IF($A343&lt;VLOOKUP(O$5,NFI,5,0),1,0)*Data_NFI_t[[#This Row],[Kitchen Set]],0)</f>
        <v>0</v>
      </c>
      <c r="AA343" s="131">
        <f>IF(NFI_Expiration=1,IF($A343&lt;VLOOKUP(P$5,NFI,5,0),1,0)*Data_NFI_t[[#This Row],[Complementary Kit]],0)</f>
        <v>0</v>
      </c>
      <c r="AB343" s="131">
        <f>IF(NFI_Expiration=1,IF($A343&lt;VLOOKUP(Q$5,NFI,5,0),1,0)*Data_NFI_t[[#This Row],[Plastic Bucket]],0)</f>
        <v>0</v>
      </c>
      <c r="AC343" s="131">
        <f>IF(NFI_Expiration=1,IF($A343&lt;VLOOKUP(R$5,NFI,5,0),1,0)*Data_NFI_t[[#This Row],[Jerry Can]],0)</f>
        <v>0</v>
      </c>
      <c r="AD343" s="150">
        <f>IF(NFI_Expiration=1,IF($A343&lt;VLOOKUP(S$5,NFI,5,0),1,0)*Data_NFI_t[[#This Row],[Plastic Mat]],0)*IF(Data_NFI_t[[#This Row],[Distribution Date]]&gt;"01-04-2014",1,2.5)</f>
        <v>0</v>
      </c>
      <c r="AE343" s="150" t="str">
        <f ca="1">IFERROR(OFFSET(Camp_List[P_Code],MATCH(Data_NFI_t[[#This Row],[Camp Name]],Camp_List[Camp Name],0)-1,0,1,1),"")</f>
        <v/>
      </c>
      <c r="AF343" s="714" t="str">
        <f ca="1">IFERROR(OFFSET(Camp_List[Status],MATCH(Data_NFI_t[[#This Row],[Camp Name]],Camp_List[Camp Name],0)-1,0,1,1),"")</f>
        <v/>
      </c>
      <c r="AJ343" s="102" t="s">
        <v>938</v>
      </c>
    </row>
    <row r="344" spans="1:36" s="102" customFormat="1" ht="15" customHeight="1" x14ac:dyDescent="0.25">
      <c r="A344" s="265">
        <f t="shared" si="5"/>
        <v>41.3</v>
      </c>
      <c r="B344" s="265">
        <f>YEAR(Data_NFI_t[[#This Row],[Distribution Date]])</f>
        <v>2012</v>
      </c>
      <c r="C344" s="738">
        <v>41100</v>
      </c>
      <c r="D344" s="655" t="s">
        <v>288</v>
      </c>
      <c r="E344" s="654"/>
      <c r="F344" s="655" t="s">
        <v>7</v>
      </c>
      <c r="G344" s="31" t="s">
        <v>19</v>
      </c>
      <c r="H344" s="31" t="s">
        <v>273</v>
      </c>
      <c r="I344" s="31"/>
      <c r="J344" s="61"/>
      <c r="K344" s="61"/>
      <c r="L344" s="61"/>
      <c r="M344" s="61">
        <v>5</v>
      </c>
      <c r="N344" s="61"/>
      <c r="O344" s="61"/>
      <c r="P344" s="61"/>
      <c r="Q344" s="61"/>
      <c r="R344" s="708"/>
      <c r="S344" s="61"/>
      <c r="T344" s="150">
        <f>IF(NFI_Expiration=1,IF($A344&lt;VLOOKUP(I$5,NFI,5,0),1,0)*Data_NFI_t[[#This Row],[Hygiene Kit]],0)</f>
        <v>0</v>
      </c>
      <c r="U344" s="150">
        <f>IF(NFI_Expiration=1,IF($A344&lt;VLOOKUP(J$5,NFI,5,0),1,0)*Data_NFI_t[[#This Row],[NFI Core Kit]],0)</f>
        <v>0</v>
      </c>
      <c r="V344" s="131">
        <f>IF(NFI_Expiration=1,IF($A344&lt;VLOOKUP(K$5,NFI,5,0),1,0)*Data_NFI_t[[#This Row],[Sanitary Kit]],0)</f>
        <v>0</v>
      </c>
      <c r="W344" s="131">
        <f>IF(NFI_Expiration=1,IF($A344&lt;VLOOKUP(L$5,NFI,5,0),1,0)*Data_NFI_t[[#This Row],[Mosquito net]],0)</f>
        <v>0</v>
      </c>
      <c r="X344" s="131">
        <f>IF(NFI_Expiration=1,IF($A344&lt;VLOOKUP(M$5,NFI,5,0),1,0)*Data_NFI_t[[#This Row],[Tarpaulin]],0)</f>
        <v>0</v>
      </c>
      <c r="Y344" s="131">
        <f>IF(NFI_Expiration=1,IF($A344&lt;VLOOKUP(N$5,NFI,5,0),1,0)*Data_NFI_t[[#This Row],[Blanket]],0)</f>
        <v>0</v>
      </c>
      <c r="Z344" s="131">
        <f>IF(NFI_Expiration=1,IF($A344&lt;VLOOKUP(O$5,NFI,5,0),1,0)*Data_NFI_t[[#This Row],[Kitchen Set]],0)</f>
        <v>0</v>
      </c>
      <c r="AA344" s="131">
        <f>IF(NFI_Expiration=1,IF($A344&lt;VLOOKUP(P$5,NFI,5,0),1,0)*Data_NFI_t[[#This Row],[Complementary Kit]],0)</f>
        <v>0</v>
      </c>
      <c r="AB344" s="131">
        <f>IF(NFI_Expiration=1,IF($A344&lt;VLOOKUP(Q$5,NFI,5,0),1,0)*Data_NFI_t[[#This Row],[Plastic Bucket]],0)</f>
        <v>0</v>
      </c>
      <c r="AC344" s="131">
        <f>IF(NFI_Expiration=1,IF($A344&lt;VLOOKUP(R$5,NFI,5,0),1,0)*Data_NFI_t[[#This Row],[Jerry Can]],0)</f>
        <v>0</v>
      </c>
      <c r="AD344" s="150">
        <f>IF(NFI_Expiration=1,IF($A344&lt;VLOOKUP(S$5,NFI,5,0),1,0)*Data_NFI_t[[#This Row],[Plastic Mat]],0)*IF(Data_NFI_t[[#This Row],[Distribution Date]]&gt;"01-04-2014",1,2.5)</f>
        <v>0</v>
      </c>
      <c r="AE344" s="150" t="str">
        <f ca="1">IFERROR(OFFSET(Camp_List[P_Code],MATCH(Data_NFI_t[[#This Row],[Camp Name]],Camp_List[Camp Name],0)-1,0,1,1),"")</f>
        <v/>
      </c>
      <c r="AF344" s="714" t="str">
        <f ca="1">IFERROR(OFFSET(Camp_List[Status],MATCH(Data_NFI_t[[#This Row],[Camp Name]],Camp_List[Camp Name],0)-1,0,1,1),"")</f>
        <v/>
      </c>
      <c r="AJ344" s="102" t="s">
        <v>938</v>
      </c>
    </row>
    <row r="345" spans="1:36" s="102" customFormat="1" ht="15" customHeight="1" x14ac:dyDescent="0.25">
      <c r="A345" s="265">
        <f t="shared" si="5"/>
        <v>41.3</v>
      </c>
      <c r="B345" s="265">
        <f>YEAR(Data_NFI_t[[#This Row],[Distribution Date]])</f>
        <v>2012</v>
      </c>
      <c r="C345" s="738">
        <v>41100</v>
      </c>
      <c r="D345" s="655" t="s">
        <v>288</v>
      </c>
      <c r="E345" s="654"/>
      <c r="F345" s="655" t="s">
        <v>7</v>
      </c>
      <c r="G345" s="31" t="s">
        <v>19</v>
      </c>
      <c r="H345" s="31" t="s">
        <v>272</v>
      </c>
      <c r="I345" s="31"/>
      <c r="J345" s="61"/>
      <c r="K345" s="61"/>
      <c r="L345" s="61"/>
      <c r="M345" s="61">
        <v>16</v>
      </c>
      <c r="N345" s="61"/>
      <c r="O345" s="61"/>
      <c r="P345" s="61"/>
      <c r="Q345" s="61"/>
      <c r="R345" s="708"/>
      <c r="S345" s="61"/>
      <c r="T345" s="150">
        <f>IF(NFI_Expiration=1,IF($A345&lt;VLOOKUP(I$5,NFI,5,0),1,0)*Data_NFI_t[[#This Row],[Hygiene Kit]],0)</f>
        <v>0</v>
      </c>
      <c r="U345" s="150">
        <f>IF(NFI_Expiration=1,IF($A345&lt;VLOOKUP(J$5,NFI,5,0),1,0)*Data_NFI_t[[#This Row],[NFI Core Kit]],0)</f>
        <v>0</v>
      </c>
      <c r="V345" s="131">
        <f>IF(NFI_Expiration=1,IF($A345&lt;VLOOKUP(K$5,NFI,5,0),1,0)*Data_NFI_t[[#This Row],[Sanitary Kit]],0)</f>
        <v>0</v>
      </c>
      <c r="W345" s="131">
        <f>IF(NFI_Expiration=1,IF($A345&lt;VLOOKUP(L$5,NFI,5,0),1,0)*Data_NFI_t[[#This Row],[Mosquito net]],0)</f>
        <v>0</v>
      </c>
      <c r="X345" s="131">
        <f>IF(NFI_Expiration=1,IF($A345&lt;VLOOKUP(M$5,NFI,5,0),1,0)*Data_NFI_t[[#This Row],[Tarpaulin]],0)</f>
        <v>0</v>
      </c>
      <c r="Y345" s="131">
        <f>IF(NFI_Expiration=1,IF($A345&lt;VLOOKUP(N$5,NFI,5,0),1,0)*Data_NFI_t[[#This Row],[Blanket]],0)</f>
        <v>0</v>
      </c>
      <c r="Z345" s="131">
        <f>IF(NFI_Expiration=1,IF($A345&lt;VLOOKUP(O$5,NFI,5,0),1,0)*Data_NFI_t[[#This Row],[Kitchen Set]],0)</f>
        <v>0</v>
      </c>
      <c r="AA345" s="131">
        <f>IF(NFI_Expiration=1,IF($A345&lt;VLOOKUP(P$5,NFI,5,0),1,0)*Data_NFI_t[[#This Row],[Complementary Kit]],0)</f>
        <v>0</v>
      </c>
      <c r="AB345" s="131">
        <f>IF(NFI_Expiration=1,IF($A345&lt;VLOOKUP(Q$5,NFI,5,0),1,0)*Data_NFI_t[[#This Row],[Plastic Bucket]],0)</f>
        <v>0</v>
      </c>
      <c r="AC345" s="131">
        <f>IF(NFI_Expiration=1,IF($A345&lt;VLOOKUP(R$5,NFI,5,0),1,0)*Data_NFI_t[[#This Row],[Jerry Can]],0)</f>
        <v>0</v>
      </c>
      <c r="AD345" s="150">
        <f>IF(NFI_Expiration=1,IF($A345&lt;VLOOKUP(S$5,NFI,5,0),1,0)*Data_NFI_t[[#This Row],[Plastic Mat]],0)*IF(Data_NFI_t[[#This Row],[Distribution Date]]&gt;"01-04-2014",1,2.5)</f>
        <v>0</v>
      </c>
      <c r="AE345" s="150" t="str">
        <f ca="1">IFERROR(OFFSET(Camp_List[P_Code],MATCH(Data_NFI_t[[#This Row],[Camp Name]],Camp_List[Camp Name],0)-1,0,1,1),"")</f>
        <v/>
      </c>
      <c r="AF345" s="714" t="str">
        <f ca="1">IFERROR(OFFSET(Camp_List[Status],MATCH(Data_NFI_t[[#This Row],[Camp Name]],Camp_List[Camp Name],0)-1,0,1,1),"")</f>
        <v/>
      </c>
      <c r="AJ345" s="102" t="s">
        <v>938</v>
      </c>
    </row>
    <row r="346" spans="1:36" s="102" customFormat="1" ht="15" customHeight="1" x14ac:dyDescent="0.25">
      <c r="A346" s="265">
        <f t="shared" si="5"/>
        <v>41.3</v>
      </c>
      <c r="B346" s="265">
        <f>YEAR(Data_NFI_t[[#This Row],[Distribution Date]])</f>
        <v>2012</v>
      </c>
      <c r="C346" s="738">
        <v>41100</v>
      </c>
      <c r="D346" s="655" t="s">
        <v>288</v>
      </c>
      <c r="E346" s="654"/>
      <c r="F346" s="655" t="s">
        <v>7</v>
      </c>
      <c r="G346" s="31" t="s">
        <v>19</v>
      </c>
      <c r="H346" s="31" t="s">
        <v>271</v>
      </c>
      <c r="I346" s="31"/>
      <c r="J346" s="61"/>
      <c r="K346" s="61"/>
      <c r="L346" s="61"/>
      <c r="M346" s="61">
        <v>11</v>
      </c>
      <c r="N346" s="61"/>
      <c r="O346" s="61"/>
      <c r="P346" s="61"/>
      <c r="Q346" s="61"/>
      <c r="R346" s="708"/>
      <c r="S346" s="61"/>
      <c r="T346" s="150">
        <f>IF(NFI_Expiration=1,IF($A346&lt;VLOOKUP(I$5,NFI,5,0),1,0)*Data_NFI_t[[#This Row],[Hygiene Kit]],0)</f>
        <v>0</v>
      </c>
      <c r="U346" s="150">
        <f>IF(NFI_Expiration=1,IF($A346&lt;VLOOKUP(J$5,NFI,5,0),1,0)*Data_NFI_t[[#This Row],[NFI Core Kit]],0)</f>
        <v>0</v>
      </c>
      <c r="V346" s="131">
        <f>IF(NFI_Expiration=1,IF($A346&lt;VLOOKUP(K$5,NFI,5,0),1,0)*Data_NFI_t[[#This Row],[Sanitary Kit]],0)</f>
        <v>0</v>
      </c>
      <c r="W346" s="131">
        <f>IF(NFI_Expiration=1,IF($A346&lt;VLOOKUP(L$5,NFI,5,0),1,0)*Data_NFI_t[[#This Row],[Mosquito net]],0)</f>
        <v>0</v>
      </c>
      <c r="X346" s="131">
        <f>IF(NFI_Expiration=1,IF($A346&lt;VLOOKUP(M$5,NFI,5,0),1,0)*Data_NFI_t[[#This Row],[Tarpaulin]],0)</f>
        <v>0</v>
      </c>
      <c r="Y346" s="131">
        <f>IF(NFI_Expiration=1,IF($A346&lt;VLOOKUP(N$5,NFI,5,0),1,0)*Data_NFI_t[[#This Row],[Blanket]],0)</f>
        <v>0</v>
      </c>
      <c r="Z346" s="131">
        <f>IF(NFI_Expiration=1,IF($A346&lt;VLOOKUP(O$5,NFI,5,0),1,0)*Data_NFI_t[[#This Row],[Kitchen Set]],0)</f>
        <v>0</v>
      </c>
      <c r="AA346" s="131">
        <f>IF(NFI_Expiration=1,IF($A346&lt;VLOOKUP(P$5,NFI,5,0),1,0)*Data_NFI_t[[#This Row],[Complementary Kit]],0)</f>
        <v>0</v>
      </c>
      <c r="AB346" s="131">
        <f>IF(NFI_Expiration=1,IF($A346&lt;VLOOKUP(Q$5,NFI,5,0),1,0)*Data_NFI_t[[#This Row],[Plastic Bucket]],0)</f>
        <v>0</v>
      </c>
      <c r="AC346" s="131">
        <f>IF(NFI_Expiration=1,IF($A346&lt;VLOOKUP(R$5,NFI,5,0),1,0)*Data_NFI_t[[#This Row],[Jerry Can]],0)</f>
        <v>0</v>
      </c>
      <c r="AD346" s="150">
        <f>IF(NFI_Expiration=1,IF($A346&lt;VLOOKUP(S$5,NFI,5,0),1,0)*Data_NFI_t[[#This Row],[Plastic Mat]],0)*IF(Data_NFI_t[[#This Row],[Distribution Date]]&gt;"01-04-2014",1,2.5)</f>
        <v>0</v>
      </c>
      <c r="AE346" s="150" t="str">
        <f ca="1">IFERROR(OFFSET(Camp_List[P_Code],MATCH(Data_NFI_t[[#This Row],[Camp Name]],Camp_List[Camp Name],0)-1,0,1,1),"")</f>
        <v/>
      </c>
      <c r="AF346" s="714" t="str">
        <f ca="1">IFERROR(OFFSET(Camp_List[Status],MATCH(Data_NFI_t[[#This Row],[Camp Name]],Camp_List[Camp Name],0)-1,0,1,1),"")</f>
        <v/>
      </c>
      <c r="AJ346" s="102" t="s">
        <v>938</v>
      </c>
    </row>
    <row r="347" spans="1:36" s="102" customFormat="1" ht="15" customHeight="1" x14ac:dyDescent="0.25">
      <c r="A347" s="265">
        <f t="shared" si="5"/>
        <v>41.3</v>
      </c>
      <c r="B347" s="265">
        <f>YEAR(Data_NFI_t[[#This Row],[Distribution Date]])</f>
        <v>2012</v>
      </c>
      <c r="C347" s="738">
        <v>41100</v>
      </c>
      <c r="D347" s="655" t="s">
        <v>288</v>
      </c>
      <c r="E347" s="654"/>
      <c r="F347" s="655" t="s">
        <v>7</v>
      </c>
      <c r="G347" s="31" t="s">
        <v>19</v>
      </c>
      <c r="H347" s="31" t="s">
        <v>97</v>
      </c>
      <c r="I347" s="31"/>
      <c r="J347" s="61"/>
      <c r="K347" s="61"/>
      <c r="L347" s="61"/>
      <c r="M347" s="61">
        <v>20</v>
      </c>
      <c r="N347" s="61"/>
      <c r="O347" s="61"/>
      <c r="P347" s="61"/>
      <c r="Q347" s="61"/>
      <c r="R347" s="708"/>
      <c r="S347" s="61"/>
      <c r="T347" s="150">
        <f>IF(NFI_Expiration=1,IF($A347&lt;VLOOKUP(I$5,NFI,5,0),1,0)*Data_NFI_t[[#This Row],[Hygiene Kit]],0)</f>
        <v>0</v>
      </c>
      <c r="U347" s="150">
        <f>IF(NFI_Expiration=1,IF($A347&lt;VLOOKUP(J$5,NFI,5,0),1,0)*Data_NFI_t[[#This Row],[NFI Core Kit]],0)</f>
        <v>0</v>
      </c>
      <c r="V347" s="131">
        <f>IF(NFI_Expiration=1,IF($A347&lt;VLOOKUP(K$5,NFI,5,0),1,0)*Data_NFI_t[[#This Row],[Sanitary Kit]],0)</f>
        <v>0</v>
      </c>
      <c r="W347" s="131">
        <f>IF(NFI_Expiration=1,IF($A347&lt;VLOOKUP(L$5,NFI,5,0),1,0)*Data_NFI_t[[#This Row],[Mosquito net]],0)</f>
        <v>0</v>
      </c>
      <c r="X347" s="131">
        <f>IF(NFI_Expiration=1,IF($A347&lt;VLOOKUP(M$5,NFI,5,0),1,0)*Data_NFI_t[[#This Row],[Tarpaulin]],0)</f>
        <v>0</v>
      </c>
      <c r="Y347" s="131">
        <f>IF(NFI_Expiration=1,IF($A347&lt;VLOOKUP(N$5,NFI,5,0),1,0)*Data_NFI_t[[#This Row],[Blanket]],0)</f>
        <v>0</v>
      </c>
      <c r="Z347" s="131">
        <f>IF(NFI_Expiration=1,IF($A347&lt;VLOOKUP(O$5,NFI,5,0),1,0)*Data_NFI_t[[#This Row],[Kitchen Set]],0)</f>
        <v>0</v>
      </c>
      <c r="AA347" s="131">
        <f>IF(NFI_Expiration=1,IF($A347&lt;VLOOKUP(P$5,NFI,5,0),1,0)*Data_NFI_t[[#This Row],[Complementary Kit]],0)</f>
        <v>0</v>
      </c>
      <c r="AB347" s="131">
        <f>IF(NFI_Expiration=1,IF($A347&lt;VLOOKUP(Q$5,NFI,5,0),1,0)*Data_NFI_t[[#This Row],[Plastic Bucket]],0)</f>
        <v>0</v>
      </c>
      <c r="AC347" s="131">
        <f>IF(NFI_Expiration=1,IF($A347&lt;VLOOKUP(R$5,NFI,5,0),1,0)*Data_NFI_t[[#This Row],[Jerry Can]],0)</f>
        <v>0</v>
      </c>
      <c r="AD347" s="150">
        <f>IF(NFI_Expiration=1,IF($A347&lt;VLOOKUP(S$5,NFI,5,0),1,0)*Data_NFI_t[[#This Row],[Plastic Mat]],0)*IF(Data_NFI_t[[#This Row],[Distribution Date]]&gt;"01-04-2014",1,2.5)</f>
        <v>0</v>
      </c>
      <c r="AE347" s="150" t="str">
        <f ca="1">IFERROR(OFFSET(Camp_List[P_Code],MATCH(Data_NFI_t[[#This Row],[Camp Name]],Camp_List[Camp Name],0)-1,0,1,1),"")</f>
        <v>MMR012CMP075</v>
      </c>
      <c r="AF347" s="714" t="str">
        <f ca="1">IFERROR(OFFSET(Camp_List[Status],MATCH(Data_NFI_t[[#This Row],[Camp Name]],Camp_List[Camp Name],0)-1,0,1,1),"")</f>
        <v>Close</v>
      </c>
    </row>
    <row r="348" spans="1:36" s="102" customFormat="1" ht="15" customHeight="1" x14ac:dyDescent="0.25">
      <c r="A348" s="265">
        <f t="shared" si="5"/>
        <v>41.3</v>
      </c>
      <c r="B348" s="265">
        <f>YEAR(Data_NFI_t[[#This Row],[Distribution Date]])</f>
        <v>2012</v>
      </c>
      <c r="C348" s="738">
        <v>41100</v>
      </c>
      <c r="D348" s="655" t="s">
        <v>288</v>
      </c>
      <c r="E348" s="654"/>
      <c r="F348" s="655" t="s">
        <v>7</v>
      </c>
      <c r="G348" s="31" t="s">
        <v>19</v>
      </c>
      <c r="H348" s="31" t="s">
        <v>274</v>
      </c>
      <c r="I348" s="31"/>
      <c r="J348" s="61"/>
      <c r="K348" s="61"/>
      <c r="L348" s="61"/>
      <c r="M348" s="61">
        <v>2</v>
      </c>
      <c r="N348" s="61"/>
      <c r="O348" s="61"/>
      <c r="P348" s="61"/>
      <c r="Q348" s="61"/>
      <c r="R348" s="708"/>
      <c r="S348" s="61"/>
      <c r="T348" s="150">
        <f>IF(NFI_Expiration=1,IF($A348&lt;VLOOKUP(I$5,NFI,5,0),1,0)*Data_NFI_t[[#This Row],[Hygiene Kit]],0)</f>
        <v>0</v>
      </c>
      <c r="U348" s="150">
        <f>IF(NFI_Expiration=1,IF($A348&lt;VLOOKUP(J$5,NFI,5,0),1,0)*Data_NFI_t[[#This Row],[NFI Core Kit]],0)</f>
        <v>0</v>
      </c>
      <c r="V348" s="131">
        <f>IF(NFI_Expiration=1,IF($A348&lt;VLOOKUP(K$5,NFI,5,0),1,0)*Data_NFI_t[[#This Row],[Sanitary Kit]],0)</f>
        <v>0</v>
      </c>
      <c r="W348" s="131">
        <f>IF(NFI_Expiration=1,IF($A348&lt;VLOOKUP(L$5,NFI,5,0),1,0)*Data_NFI_t[[#This Row],[Mosquito net]],0)</f>
        <v>0</v>
      </c>
      <c r="X348" s="131">
        <f>IF(NFI_Expiration=1,IF($A348&lt;VLOOKUP(M$5,NFI,5,0),1,0)*Data_NFI_t[[#This Row],[Tarpaulin]],0)</f>
        <v>0</v>
      </c>
      <c r="Y348" s="131">
        <f>IF(NFI_Expiration=1,IF($A348&lt;VLOOKUP(N$5,NFI,5,0),1,0)*Data_NFI_t[[#This Row],[Blanket]],0)</f>
        <v>0</v>
      </c>
      <c r="Z348" s="131">
        <f>IF(NFI_Expiration=1,IF($A348&lt;VLOOKUP(O$5,NFI,5,0),1,0)*Data_NFI_t[[#This Row],[Kitchen Set]],0)</f>
        <v>0</v>
      </c>
      <c r="AA348" s="131">
        <f>IF(NFI_Expiration=1,IF($A348&lt;VLOOKUP(P$5,NFI,5,0),1,0)*Data_NFI_t[[#This Row],[Complementary Kit]],0)</f>
        <v>0</v>
      </c>
      <c r="AB348" s="131">
        <f>IF(NFI_Expiration=1,IF($A348&lt;VLOOKUP(Q$5,NFI,5,0),1,0)*Data_NFI_t[[#This Row],[Plastic Bucket]],0)</f>
        <v>0</v>
      </c>
      <c r="AC348" s="131">
        <f>IF(NFI_Expiration=1,IF($A348&lt;VLOOKUP(R$5,NFI,5,0),1,0)*Data_NFI_t[[#This Row],[Jerry Can]],0)</f>
        <v>0</v>
      </c>
      <c r="AD348" s="150">
        <f>IF(NFI_Expiration=1,IF($A348&lt;VLOOKUP(S$5,NFI,5,0),1,0)*Data_NFI_t[[#This Row],[Plastic Mat]],0)*IF(Data_NFI_t[[#This Row],[Distribution Date]]&gt;"01-04-2014",1,2.5)</f>
        <v>0</v>
      </c>
      <c r="AE348" s="150" t="str">
        <f ca="1">IFERROR(OFFSET(Camp_List[P_Code],MATCH(Data_NFI_t[[#This Row],[Camp Name]],Camp_List[Camp Name],0)-1,0,1,1),"")</f>
        <v/>
      </c>
      <c r="AF348" s="714" t="str">
        <f ca="1">IFERROR(OFFSET(Camp_List[Status],MATCH(Data_NFI_t[[#This Row],[Camp Name]],Camp_List[Camp Name],0)-1,0,1,1),"")</f>
        <v/>
      </c>
    </row>
    <row r="349" spans="1:36" s="102" customFormat="1" ht="15" customHeight="1" x14ac:dyDescent="0.25">
      <c r="A349" s="265">
        <f t="shared" si="5"/>
        <v>41.333333333333336</v>
      </c>
      <c r="B349" s="265">
        <f>YEAR(Data_NFI_t[[#This Row],[Distribution Date]])</f>
        <v>2012</v>
      </c>
      <c r="C349" s="738">
        <v>41099</v>
      </c>
      <c r="D349" s="655" t="s">
        <v>288</v>
      </c>
      <c r="E349" s="654"/>
      <c r="F349" s="655" t="s">
        <v>7</v>
      </c>
      <c r="G349" s="31" t="s">
        <v>19</v>
      </c>
      <c r="H349" s="31" t="s">
        <v>269</v>
      </c>
      <c r="I349" s="31"/>
      <c r="J349" s="61"/>
      <c r="K349" s="61"/>
      <c r="L349" s="61"/>
      <c r="M349" s="61">
        <v>5</v>
      </c>
      <c r="N349" s="61"/>
      <c r="O349" s="61"/>
      <c r="P349" s="61"/>
      <c r="Q349" s="61"/>
      <c r="R349" s="708"/>
      <c r="S349" s="61"/>
      <c r="T349" s="150">
        <f>IF(NFI_Expiration=1,IF($A349&lt;VLOOKUP(I$5,NFI,5,0),1,0)*Data_NFI_t[[#This Row],[Hygiene Kit]],0)</f>
        <v>0</v>
      </c>
      <c r="U349" s="150">
        <f>IF(NFI_Expiration=1,IF($A349&lt;VLOOKUP(J$5,NFI,5,0),1,0)*Data_NFI_t[[#This Row],[NFI Core Kit]],0)</f>
        <v>0</v>
      </c>
      <c r="V349" s="131">
        <f>IF(NFI_Expiration=1,IF($A349&lt;VLOOKUP(K$5,NFI,5,0),1,0)*Data_NFI_t[[#This Row],[Sanitary Kit]],0)</f>
        <v>0</v>
      </c>
      <c r="W349" s="131">
        <f>IF(NFI_Expiration=1,IF($A349&lt;VLOOKUP(L$5,NFI,5,0),1,0)*Data_NFI_t[[#This Row],[Mosquito net]],0)</f>
        <v>0</v>
      </c>
      <c r="X349" s="131">
        <f>IF(NFI_Expiration=1,IF($A349&lt;VLOOKUP(M$5,NFI,5,0),1,0)*Data_NFI_t[[#This Row],[Tarpaulin]],0)</f>
        <v>0</v>
      </c>
      <c r="Y349" s="131">
        <f>IF(NFI_Expiration=1,IF($A349&lt;VLOOKUP(N$5,NFI,5,0),1,0)*Data_NFI_t[[#This Row],[Blanket]],0)</f>
        <v>0</v>
      </c>
      <c r="Z349" s="131">
        <f>IF(NFI_Expiration=1,IF($A349&lt;VLOOKUP(O$5,NFI,5,0),1,0)*Data_NFI_t[[#This Row],[Kitchen Set]],0)</f>
        <v>0</v>
      </c>
      <c r="AA349" s="131">
        <f>IF(NFI_Expiration=1,IF($A349&lt;VLOOKUP(P$5,NFI,5,0),1,0)*Data_NFI_t[[#This Row],[Complementary Kit]],0)</f>
        <v>0</v>
      </c>
      <c r="AB349" s="131">
        <f>IF(NFI_Expiration=1,IF($A349&lt;VLOOKUP(Q$5,NFI,5,0),1,0)*Data_NFI_t[[#This Row],[Plastic Bucket]],0)</f>
        <v>0</v>
      </c>
      <c r="AC349" s="131">
        <f>IF(NFI_Expiration=1,IF($A349&lt;VLOOKUP(R$5,NFI,5,0),1,0)*Data_NFI_t[[#This Row],[Jerry Can]],0)</f>
        <v>0</v>
      </c>
      <c r="AD349" s="150">
        <f>IF(NFI_Expiration=1,IF($A349&lt;VLOOKUP(S$5,NFI,5,0),1,0)*Data_NFI_t[[#This Row],[Plastic Mat]],0)*IF(Data_NFI_t[[#This Row],[Distribution Date]]&gt;"01-04-2014",1,2.5)</f>
        <v>0</v>
      </c>
      <c r="AE349" s="150" t="str">
        <f ca="1">IFERROR(OFFSET(Camp_List[P_Code],MATCH(Data_NFI_t[[#This Row],[Camp Name]],Camp_List[Camp Name],0)-1,0,1,1),"")</f>
        <v/>
      </c>
      <c r="AF349" s="714" t="str">
        <f ca="1">IFERROR(OFFSET(Camp_List[Status],MATCH(Data_NFI_t[[#This Row],[Camp Name]],Camp_List[Camp Name],0)-1,0,1,1),"")</f>
        <v/>
      </c>
    </row>
    <row r="350" spans="1:36" s="102" customFormat="1" ht="15" customHeight="1" x14ac:dyDescent="0.25">
      <c r="A350" s="265">
        <f t="shared" si="5"/>
        <v>41.333333333333336</v>
      </c>
      <c r="B350" s="265">
        <f>YEAR(Data_NFI_t[[#This Row],[Distribution Date]])</f>
        <v>2012</v>
      </c>
      <c r="C350" s="738">
        <v>41099</v>
      </c>
      <c r="D350" s="655" t="s">
        <v>288</v>
      </c>
      <c r="E350" s="654"/>
      <c r="F350" s="655" t="s">
        <v>7</v>
      </c>
      <c r="G350" s="31" t="s">
        <v>19</v>
      </c>
      <c r="H350" s="31" t="s">
        <v>261</v>
      </c>
      <c r="I350" s="31"/>
      <c r="J350" s="61"/>
      <c r="K350" s="61"/>
      <c r="L350" s="61"/>
      <c r="M350" s="61">
        <v>10</v>
      </c>
      <c r="N350" s="61"/>
      <c r="O350" s="61"/>
      <c r="P350" s="61"/>
      <c r="Q350" s="61"/>
      <c r="R350" s="708"/>
      <c r="S350" s="61"/>
      <c r="T350" s="150">
        <f>IF(NFI_Expiration=1,IF($A350&lt;VLOOKUP(I$5,NFI,5,0),1,0)*Data_NFI_t[[#This Row],[Hygiene Kit]],0)</f>
        <v>0</v>
      </c>
      <c r="U350" s="150">
        <f>IF(NFI_Expiration=1,IF($A350&lt;VLOOKUP(J$5,NFI,5,0),1,0)*Data_NFI_t[[#This Row],[NFI Core Kit]],0)</f>
        <v>0</v>
      </c>
      <c r="V350" s="131">
        <f>IF(NFI_Expiration=1,IF($A350&lt;VLOOKUP(K$5,NFI,5,0),1,0)*Data_NFI_t[[#This Row],[Sanitary Kit]],0)</f>
        <v>0</v>
      </c>
      <c r="W350" s="131">
        <f>IF(NFI_Expiration=1,IF($A350&lt;VLOOKUP(L$5,NFI,5,0),1,0)*Data_NFI_t[[#This Row],[Mosquito net]],0)</f>
        <v>0</v>
      </c>
      <c r="X350" s="131">
        <f>IF(NFI_Expiration=1,IF($A350&lt;VLOOKUP(M$5,NFI,5,0),1,0)*Data_NFI_t[[#This Row],[Tarpaulin]],0)</f>
        <v>0</v>
      </c>
      <c r="Y350" s="131">
        <f>IF(NFI_Expiration=1,IF($A350&lt;VLOOKUP(N$5,NFI,5,0),1,0)*Data_NFI_t[[#This Row],[Blanket]],0)</f>
        <v>0</v>
      </c>
      <c r="Z350" s="131">
        <f>IF(NFI_Expiration=1,IF($A350&lt;VLOOKUP(O$5,NFI,5,0),1,0)*Data_NFI_t[[#This Row],[Kitchen Set]],0)</f>
        <v>0</v>
      </c>
      <c r="AA350" s="131">
        <f>IF(NFI_Expiration=1,IF($A350&lt;VLOOKUP(P$5,NFI,5,0),1,0)*Data_NFI_t[[#This Row],[Complementary Kit]],0)</f>
        <v>0</v>
      </c>
      <c r="AB350" s="131">
        <f>IF(NFI_Expiration=1,IF($A350&lt;VLOOKUP(Q$5,NFI,5,0),1,0)*Data_NFI_t[[#This Row],[Plastic Bucket]],0)</f>
        <v>0</v>
      </c>
      <c r="AC350" s="131">
        <f>IF(NFI_Expiration=1,IF($A350&lt;VLOOKUP(R$5,NFI,5,0),1,0)*Data_NFI_t[[#This Row],[Jerry Can]],0)</f>
        <v>0</v>
      </c>
      <c r="AD350" s="150">
        <f>IF(NFI_Expiration=1,IF($A350&lt;VLOOKUP(S$5,NFI,5,0),1,0)*Data_NFI_t[[#This Row],[Plastic Mat]],0)*IF(Data_NFI_t[[#This Row],[Distribution Date]]&gt;"01-04-2014",1,2.5)</f>
        <v>0</v>
      </c>
      <c r="AE350" s="150" t="str">
        <f ca="1">IFERROR(OFFSET(Camp_List[P_Code],MATCH(Data_NFI_t[[#This Row],[Camp Name]],Camp_List[Camp Name],0)-1,0,1,1),"")</f>
        <v/>
      </c>
      <c r="AF350" s="714" t="str">
        <f ca="1">IFERROR(OFFSET(Camp_List[Status],MATCH(Data_NFI_t[[#This Row],[Camp Name]],Camp_List[Camp Name],0)-1,0,1,1),"")</f>
        <v/>
      </c>
    </row>
    <row r="351" spans="1:36" s="102" customFormat="1" ht="15" customHeight="1" x14ac:dyDescent="0.25">
      <c r="A351" s="265">
        <f t="shared" si="5"/>
        <v>41.333333333333336</v>
      </c>
      <c r="B351" s="265">
        <f>YEAR(Data_NFI_t[[#This Row],[Distribution Date]])</f>
        <v>2012</v>
      </c>
      <c r="C351" s="738">
        <v>41099</v>
      </c>
      <c r="D351" s="655" t="s">
        <v>288</v>
      </c>
      <c r="E351" s="654"/>
      <c r="F351" s="655" t="s">
        <v>7</v>
      </c>
      <c r="G351" s="31" t="s">
        <v>19</v>
      </c>
      <c r="H351" s="31" t="s">
        <v>266</v>
      </c>
      <c r="I351" s="31"/>
      <c r="J351" s="61"/>
      <c r="K351" s="61"/>
      <c r="L351" s="61"/>
      <c r="M351" s="61">
        <v>26</v>
      </c>
      <c r="N351" s="61"/>
      <c r="O351" s="61"/>
      <c r="P351" s="61"/>
      <c r="Q351" s="61"/>
      <c r="R351" s="708"/>
      <c r="S351" s="61"/>
      <c r="T351" s="150">
        <f>IF(NFI_Expiration=1,IF($A351&lt;VLOOKUP(I$5,NFI,5,0),1,0)*Data_NFI_t[[#This Row],[Hygiene Kit]],0)</f>
        <v>0</v>
      </c>
      <c r="U351" s="150">
        <f>IF(NFI_Expiration=1,IF($A351&lt;VLOOKUP(J$5,NFI,5,0),1,0)*Data_NFI_t[[#This Row],[NFI Core Kit]],0)</f>
        <v>0</v>
      </c>
      <c r="V351" s="131">
        <f>IF(NFI_Expiration=1,IF($A351&lt;VLOOKUP(K$5,NFI,5,0),1,0)*Data_NFI_t[[#This Row],[Sanitary Kit]],0)</f>
        <v>0</v>
      </c>
      <c r="W351" s="131">
        <f>IF(NFI_Expiration=1,IF($A351&lt;VLOOKUP(L$5,NFI,5,0),1,0)*Data_NFI_t[[#This Row],[Mosquito net]],0)</f>
        <v>0</v>
      </c>
      <c r="X351" s="131">
        <f>IF(NFI_Expiration=1,IF($A351&lt;VLOOKUP(M$5,NFI,5,0),1,0)*Data_NFI_t[[#This Row],[Tarpaulin]],0)</f>
        <v>0</v>
      </c>
      <c r="Y351" s="131">
        <f>IF(NFI_Expiration=1,IF($A351&lt;VLOOKUP(N$5,NFI,5,0),1,0)*Data_NFI_t[[#This Row],[Blanket]],0)</f>
        <v>0</v>
      </c>
      <c r="Z351" s="131">
        <f>IF(NFI_Expiration=1,IF($A351&lt;VLOOKUP(O$5,NFI,5,0),1,0)*Data_NFI_t[[#This Row],[Kitchen Set]],0)</f>
        <v>0</v>
      </c>
      <c r="AA351" s="131">
        <f>IF(NFI_Expiration=1,IF($A351&lt;VLOOKUP(P$5,NFI,5,0),1,0)*Data_NFI_t[[#This Row],[Complementary Kit]],0)</f>
        <v>0</v>
      </c>
      <c r="AB351" s="131">
        <f>IF(NFI_Expiration=1,IF($A351&lt;VLOOKUP(Q$5,NFI,5,0),1,0)*Data_NFI_t[[#This Row],[Plastic Bucket]],0)</f>
        <v>0</v>
      </c>
      <c r="AC351" s="131">
        <f>IF(NFI_Expiration=1,IF($A351&lt;VLOOKUP(R$5,NFI,5,0),1,0)*Data_NFI_t[[#This Row],[Jerry Can]],0)</f>
        <v>0</v>
      </c>
      <c r="AD351" s="150">
        <f>IF(NFI_Expiration=1,IF($A351&lt;VLOOKUP(S$5,NFI,5,0),1,0)*Data_NFI_t[[#This Row],[Plastic Mat]],0)*IF(Data_NFI_t[[#This Row],[Distribution Date]]&gt;"01-04-2014",1,2.5)</f>
        <v>0</v>
      </c>
      <c r="AE351" s="150" t="str">
        <f ca="1">IFERROR(OFFSET(Camp_List[P_Code],MATCH(Data_NFI_t[[#This Row],[Camp Name]],Camp_List[Camp Name],0)-1,0,1,1),"")</f>
        <v/>
      </c>
      <c r="AF351" s="714" t="str">
        <f ca="1">IFERROR(OFFSET(Camp_List[Status],MATCH(Data_NFI_t[[#This Row],[Camp Name]],Camp_List[Camp Name],0)-1,0,1,1),"")</f>
        <v/>
      </c>
    </row>
    <row r="352" spans="1:36" s="102" customFormat="1" ht="15" customHeight="1" x14ac:dyDescent="0.25">
      <c r="A352" s="265">
        <f t="shared" si="5"/>
        <v>41.333333333333336</v>
      </c>
      <c r="B352" s="265">
        <f>YEAR(Data_NFI_t[[#This Row],[Distribution Date]])</f>
        <v>2012</v>
      </c>
      <c r="C352" s="738">
        <v>41099</v>
      </c>
      <c r="D352" s="655" t="s">
        <v>288</v>
      </c>
      <c r="E352" s="654"/>
      <c r="F352" s="655" t="s">
        <v>7</v>
      </c>
      <c r="G352" s="31" t="s">
        <v>19</v>
      </c>
      <c r="H352" s="31" t="s">
        <v>265</v>
      </c>
      <c r="I352" s="31"/>
      <c r="J352" s="61"/>
      <c r="K352" s="61"/>
      <c r="L352" s="61"/>
      <c r="M352" s="61">
        <v>12</v>
      </c>
      <c r="N352" s="61"/>
      <c r="O352" s="61"/>
      <c r="P352" s="61"/>
      <c r="Q352" s="61"/>
      <c r="R352" s="708"/>
      <c r="S352" s="61"/>
      <c r="T352" s="150">
        <f>IF(NFI_Expiration=1,IF($A352&lt;VLOOKUP(I$5,NFI,5,0),1,0)*Data_NFI_t[[#This Row],[Hygiene Kit]],0)</f>
        <v>0</v>
      </c>
      <c r="U352" s="150">
        <f>IF(NFI_Expiration=1,IF($A352&lt;VLOOKUP(J$5,NFI,5,0),1,0)*Data_NFI_t[[#This Row],[NFI Core Kit]],0)</f>
        <v>0</v>
      </c>
      <c r="V352" s="131">
        <f>IF(NFI_Expiration=1,IF($A352&lt;VLOOKUP(K$5,NFI,5,0),1,0)*Data_NFI_t[[#This Row],[Sanitary Kit]],0)</f>
        <v>0</v>
      </c>
      <c r="W352" s="131">
        <f>IF(NFI_Expiration=1,IF($A352&lt;VLOOKUP(L$5,NFI,5,0),1,0)*Data_NFI_t[[#This Row],[Mosquito net]],0)</f>
        <v>0</v>
      </c>
      <c r="X352" s="131">
        <f>IF(NFI_Expiration=1,IF($A352&lt;VLOOKUP(M$5,NFI,5,0),1,0)*Data_NFI_t[[#This Row],[Tarpaulin]],0)</f>
        <v>0</v>
      </c>
      <c r="Y352" s="131">
        <f>IF(NFI_Expiration=1,IF($A352&lt;VLOOKUP(N$5,NFI,5,0),1,0)*Data_NFI_t[[#This Row],[Blanket]],0)</f>
        <v>0</v>
      </c>
      <c r="Z352" s="131">
        <f>IF(NFI_Expiration=1,IF($A352&lt;VLOOKUP(O$5,NFI,5,0),1,0)*Data_NFI_t[[#This Row],[Kitchen Set]],0)</f>
        <v>0</v>
      </c>
      <c r="AA352" s="131">
        <f>IF(NFI_Expiration=1,IF($A352&lt;VLOOKUP(P$5,NFI,5,0),1,0)*Data_NFI_t[[#This Row],[Complementary Kit]],0)</f>
        <v>0</v>
      </c>
      <c r="AB352" s="131">
        <f>IF(NFI_Expiration=1,IF($A352&lt;VLOOKUP(Q$5,NFI,5,0),1,0)*Data_NFI_t[[#This Row],[Plastic Bucket]],0)</f>
        <v>0</v>
      </c>
      <c r="AC352" s="131">
        <f>IF(NFI_Expiration=1,IF($A352&lt;VLOOKUP(R$5,NFI,5,0),1,0)*Data_NFI_t[[#This Row],[Jerry Can]],0)</f>
        <v>0</v>
      </c>
      <c r="AD352" s="150">
        <f>IF(NFI_Expiration=1,IF($A352&lt;VLOOKUP(S$5,NFI,5,0),1,0)*Data_NFI_t[[#This Row],[Plastic Mat]],0)*IF(Data_NFI_t[[#This Row],[Distribution Date]]&gt;"01-04-2014",1,2.5)</f>
        <v>0</v>
      </c>
      <c r="AE352" s="150" t="str">
        <f ca="1">IFERROR(OFFSET(Camp_List[P_Code],MATCH(Data_NFI_t[[#This Row],[Camp Name]],Camp_List[Camp Name],0)-1,0,1,1),"")</f>
        <v/>
      </c>
      <c r="AF352" s="714" t="str">
        <f ca="1">IFERROR(OFFSET(Camp_List[Status],MATCH(Data_NFI_t[[#This Row],[Camp Name]],Camp_List[Camp Name],0)-1,0,1,1),"")</f>
        <v/>
      </c>
    </row>
    <row r="353" spans="1:32" s="102" customFormat="1" ht="15" customHeight="1" x14ac:dyDescent="0.25">
      <c r="A353" s="265">
        <f t="shared" si="5"/>
        <v>41.333333333333336</v>
      </c>
      <c r="B353" s="265">
        <f>YEAR(Data_NFI_t[[#This Row],[Distribution Date]])</f>
        <v>2012</v>
      </c>
      <c r="C353" s="738">
        <v>41099</v>
      </c>
      <c r="D353" s="655" t="s">
        <v>288</v>
      </c>
      <c r="E353" s="654"/>
      <c r="F353" s="655" t="s">
        <v>7</v>
      </c>
      <c r="G353" s="31" t="s">
        <v>19</v>
      </c>
      <c r="H353" s="31" t="s">
        <v>262</v>
      </c>
      <c r="I353" s="31"/>
      <c r="J353" s="61"/>
      <c r="K353" s="61"/>
      <c r="L353" s="61"/>
      <c r="M353" s="61">
        <v>23</v>
      </c>
      <c r="N353" s="61"/>
      <c r="O353" s="61"/>
      <c r="P353" s="61"/>
      <c r="Q353" s="61"/>
      <c r="R353" s="708"/>
      <c r="S353" s="61"/>
      <c r="T353" s="150">
        <f>IF(NFI_Expiration=1,IF($A353&lt;VLOOKUP(I$5,NFI,5,0),1,0)*Data_NFI_t[[#This Row],[Hygiene Kit]],0)</f>
        <v>0</v>
      </c>
      <c r="U353" s="150">
        <f>IF(NFI_Expiration=1,IF($A353&lt;VLOOKUP(J$5,NFI,5,0),1,0)*Data_NFI_t[[#This Row],[NFI Core Kit]],0)</f>
        <v>0</v>
      </c>
      <c r="V353" s="131">
        <f>IF(NFI_Expiration=1,IF($A353&lt;VLOOKUP(K$5,NFI,5,0),1,0)*Data_NFI_t[[#This Row],[Sanitary Kit]],0)</f>
        <v>0</v>
      </c>
      <c r="W353" s="131">
        <f>IF(NFI_Expiration=1,IF($A353&lt;VLOOKUP(L$5,NFI,5,0),1,0)*Data_NFI_t[[#This Row],[Mosquito net]],0)</f>
        <v>0</v>
      </c>
      <c r="X353" s="131">
        <f>IF(NFI_Expiration=1,IF($A353&lt;VLOOKUP(M$5,NFI,5,0),1,0)*Data_NFI_t[[#This Row],[Tarpaulin]],0)</f>
        <v>0</v>
      </c>
      <c r="Y353" s="131">
        <f>IF(NFI_Expiration=1,IF($A353&lt;VLOOKUP(N$5,NFI,5,0),1,0)*Data_NFI_t[[#This Row],[Blanket]],0)</f>
        <v>0</v>
      </c>
      <c r="Z353" s="131">
        <f>IF(NFI_Expiration=1,IF($A353&lt;VLOOKUP(O$5,NFI,5,0),1,0)*Data_NFI_t[[#This Row],[Kitchen Set]],0)</f>
        <v>0</v>
      </c>
      <c r="AA353" s="131">
        <f>IF(NFI_Expiration=1,IF($A353&lt;VLOOKUP(P$5,NFI,5,0),1,0)*Data_NFI_t[[#This Row],[Complementary Kit]],0)</f>
        <v>0</v>
      </c>
      <c r="AB353" s="131">
        <f>IF(NFI_Expiration=1,IF($A353&lt;VLOOKUP(Q$5,NFI,5,0),1,0)*Data_NFI_t[[#This Row],[Plastic Bucket]],0)</f>
        <v>0</v>
      </c>
      <c r="AC353" s="131">
        <f>IF(NFI_Expiration=1,IF($A353&lt;VLOOKUP(R$5,NFI,5,0),1,0)*Data_NFI_t[[#This Row],[Jerry Can]],0)</f>
        <v>0</v>
      </c>
      <c r="AD353" s="150">
        <f>IF(NFI_Expiration=1,IF($A353&lt;VLOOKUP(S$5,NFI,5,0),1,0)*Data_NFI_t[[#This Row],[Plastic Mat]],0)*IF(Data_NFI_t[[#This Row],[Distribution Date]]&gt;"01-04-2014",1,2.5)</f>
        <v>0</v>
      </c>
      <c r="AE353" s="150" t="str">
        <f ca="1">IFERROR(OFFSET(Camp_List[P_Code],MATCH(Data_NFI_t[[#This Row],[Camp Name]],Camp_List[Camp Name],0)-1,0,1,1),"")</f>
        <v/>
      </c>
      <c r="AF353" s="714" t="str">
        <f ca="1">IFERROR(OFFSET(Camp_List[Status],MATCH(Data_NFI_t[[#This Row],[Camp Name]],Camp_List[Camp Name],0)-1,0,1,1),"")</f>
        <v/>
      </c>
    </row>
    <row r="354" spans="1:32" s="102" customFormat="1" ht="15" customHeight="1" x14ac:dyDescent="0.25">
      <c r="A354" s="265">
        <f t="shared" si="5"/>
        <v>41.333333333333336</v>
      </c>
      <c r="B354" s="265">
        <f>YEAR(Data_NFI_t[[#This Row],[Distribution Date]])</f>
        <v>2012</v>
      </c>
      <c r="C354" s="738">
        <v>41099</v>
      </c>
      <c r="D354" s="655" t="s">
        <v>288</v>
      </c>
      <c r="E354" s="654"/>
      <c r="F354" s="655" t="s">
        <v>7</v>
      </c>
      <c r="G354" s="31" t="s">
        <v>19</v>
      </c>
      <c r="H354" s="31" t="s">
        <v>263</v>
      </c>
      <c r="I354" s="31"/>
      <c r="J354" s="61"/>
      <c r="K354" s="61"/>
      <c r="L354" s="61"/>
      <c r="M354" s="61">
        <v>36</v>
      </c>
      <c r="N354" s="61"/>
      <c r="O354" s="61"/>
      <c r="P354" s="61"/>
      <c r="Q354" s="61"/>
      <c r="R354" s="708"/>
      <c r="S354" s="61"/>
      <c r="T354" s="150">
        <f>IF(NFI_Expiration=1,IF($A354&lt;VLOOKUP(I$5,NFI,5,0),1,0)*Data_NFI_t[[#This Row],[Hygiene Kit]],0)</f>
        <v>0</v>
      </c>
      <c r="U354" s="150">
        <f>IF(NFI_Expiration=1,IF($A354&lt;VLOOKUP(J$5,NFI,5,0),1,0)*Data_NFI_t[[#This Row],[NFI Core Kit]],0)</f>
        <v>0</v>
      </c>
      <c r="V354" s="131">
        <f>IF(NFI_Expiration=1,IF($A354&lt;VLOOKUP(K$5,NFI,5,0),1,0)*Data_NFI_t[[#This Row],[Sanitary Kit]],0)</f>
        <v>0</v>
      </c>
      <c r="W354" s="131">
        <f>IF(NFI_Expiration=1,IF($A354&lt;VLOOKUP(L$5,NFI,5,0),1,0)*Data_NFI_t[[#This Row],[Mosquito net]],0)</f>
        <v>0</v>
      </c>
      <c r="X354" s="131">
        <f>IF(NFI_Expiration=1,IF($A354&lt;VLOOKUP(M$5,NFI,5,0),1,0)*Data_NFI_t[[#This Row],[Tarpaulin]],0)</f>
        <v>0</v>
      </c>
      <c r="Y354" s="131">
        <f>IF(NFI_Expiration=1,IF($A354&lt;VLOOKUP(N$5,NFI,5,0),1,0)*Data_NFI_t[[#This Row],[Blanket]],0)</f>
        <v>0</v>
      </c>
      <c r="Z354" s="131">
        <f>IF(NFI_Expiration=1,IF($A354&lt;VLOOKUP(O$5,NFI,5,0),1,0)*Data_NFI_t[[#This Row],[Kitchen Set]],0)</f>
        <v>0</v>
      </c>
      <c r="AA354" s="131">
        <f>IF(NFI_Expiration=1,IF($A354&lt;VLOOKUP(P$5,NFI,5,0),1,0)*Data_NFI_t[[#This Row],[Complementary Kit]],0)</f>
        <v>0</v>
      </c>
      <c r="AB354" s="131">
        <f>IF(NFI_Expiration=1,IF($A354&lt;VLOOKUP(Q$5,NFI,5,0),1,0)*Data_NFI_t[[#This Row],[Plastic Bucket]],0)</f>
        <v>0</v>
      </c>
      <c r="AC354" s="131">
        <f>IF(NFI_Expiration=1,IF($A354&lt;VLOOKUP(R$5,NFI,5,0),1,0)*Data_NFI_t[[#This Row],[Jerry Can]],0)</f>
        <v>0</v>
      </c>
      <c r="AD354" s="150">
        <f>IF(NFI_Expiration=1,IF($A354&lt;VLOOKUP(S$5,NFI,5,0),1,0)*Data_NFI_t[[#This Row],[Plastic Mat]],0)*IF(Data_NFI_t[[#This Row],[Distribution Date]]&gt;"01-04-2014",1,2.5)</f>
        <v>0</v>
      </c>
      <c r="AE354" s="150" t="str">
        <f ca="1">IFERROR(OFFSET(Camp_List[P_Code],MATCH(Data_NFI_t[[#This Row],[Camp Name]],Camp_List[Camp Name],0)-1,0,1,1),"")</f>
        <v/>
      </c>
      <c r="AF354" s="714" t="str">
        <f ca="1">IFERROR(OFFSET(Camp_List[Status],MATCH(Data_NFI_t[[#This Row],[Camp Name]],Camp_List[Camp Name],0)-1,0,1,1),"")</f>
        <v/>
      </c>
    </row>
    <row r="355" spans="1:32" s="102" customFormat="1" ht="15" customHeight="1" x14ac:dyDescent="0.25">
      <c r="A355" s="265">
        <f t="shared" si="5"/>
        <v>41.333333333333336</v>
      </c>
      <c r="B355" s="265">
        <f>YEAR(Data_NFI_t[[#This Row],[Distribution Date]])</f>
        <v>2012</v>
      </c>
      <c r="C355" s="738">
        <v>41099</v>
      </c>
      <c r="D355" s="655" t="s">
        <v>288</v>
      </c>
      <c r="E355" s="654"/>
      <c r="F355" s="655" t="s">
        <v>7</v>
      </c>
      <c r="G355" s="31" t="s">
        <v>19</v>
      </c>
      <c r="H355" s="31" t="s">
        <v>264</v>
      </c>
      <c r="I355" s="31"/>
      <c r="J355" s="61"/>
      <c r="K355" s="61"/>
      <c r="L355" s="61"/>
      <c r="M355" s="61">
        <v>33</v>
      </c>
      <c r="N355" s="61"/>
      <c r="O355" s="61"/>
      <c r="P355" s="61"/>
      <c r="Q355" s="61"/>
      <c r="R355" s="708"/>
      <c r="S355" s="61"/>
      <c r="T355" s="150">
        <f>IF(NFI_Expiration=1,IF($A355&lt;VLOOKUP(I$5,NFI,5,0),1,0)*Data_NFI_t[[#This Row],[Hygiene Kit]],0)</f>
        <v>0</v>
      </c>
      <c r="U355" s="150">
        <f>IF(NFI_Expiration=1,IF($A355&lt;VLOOKUP(J$5,NFI,5,0),1,0)*Data_NFI_t[[#This Row],[NFI Core Kit]],0)</f>
        <v>0</v>
      </c>
      <c r="V355" s="131">
        <f>IF(NFI_Expiration=1,IF($A355&lt;VLOOKUP(K$5,NFI,5,0),1,0)*Data_NFI_t[[#This Row],[Sanitary Kit]],0)</f>
        <v>0</v>
      </c>
      <c r="W355" s="131">
        <f>IF(NFI_Expiration=1,IF($A355&lt;VLOOKUP(L$5,NFI,5,0),1,0)*Data_NFI_t[[#This Row],[Mosquito net]],0)</f>
        <v>0</v>
      </c>
      <c r="X355" s="131">
        <f>IF(NFI_Expiration=1,IF($A355&lt;VLOOKUP(M$5,NFI,5,0),1,0)*Data_NFI_t[[#This Row],[Tarpaulin]],0)</f>
        <v>0</v>
      </c>
      <c r="Y355" s="131">
        <f>IF(NFI_Expiration=1,IF($A355&lt;VLOOKUP(N$5,NFI,5,0),1,0)*Data_NFI_t[[#This Row],[Blanket]],0)</f>
        <v>0</v>
      </c>
      <c r="Z355" s="131">
        <f>IF(NFI_Expiration=1,IF($A355&lt;VLOOKUP(O$5,NFI,5,0),1,0)*Data_NFI_t[[#This Row],[Kitchen Set]],0)</f>
        <v>0</v>
      </c>
      <c r="AA355" s="131">
        <f>IF(NFI_Expiration=1,IF($A355&lt;VLOOKUP(P$5,NFI,5,0),1,0)*Data_NFI_t[[#This Row],[Complementary Kit]],0)</f>
        <v>0</v>
      </c>
      <c r="AB355" s="131">
        <f>IF(NFI_Expiration=1,IF($A355&lt;VLOOKUP(Q$5,NFI,5,0),1,0)*Data_NFI_t[[#This Row],[Plastic Bucket]],0)</f>
        <v>0</v>
      </c>
      <c r="AC355" s="131">
        <f>IF(NFI_Expiration=1,IF($A355&lt;VLOOKUP(R$5,NFI,5,0),1,0)*Data_NFI_t[[#This Row],[Jerry Can]],0)</f>
        <v>0</v>
      </c>
      <c r="AD355" s="150">
        <f>IF(NFI_Expiration=1,IF($A355&lt;VLOOKUP(S$5,NFI,5,0),1,0)*Data_NFI_t[[#This Row],[Plastic Mat]],0)*IF(Data_NFI_t[[#This Row],[Distribution Date]]&gt;"01-04-2014",1,2.5)</f>
        <v>0</v>
      </c>
      <c r="AE355" s="150" t="str">
        <f ca="1">IFERROR(OFFSET(Camp_List[P_Code],MATCH(Data_NFI_t[[#This Row],[Camp Name]],Camp_List[Camp Name],0)-1,0,1,1),"")</f>
        <v/>
      </c>
      <c r="AF355" s="714" t="str">
        <f ca="1">IFERROR(OFFSET(Camp_List[Status],MATCH(Data_NFI_t[[#This Row],[Camp Name]],Camp_List[Camp Name],0)-1,0,1,1),"")</f>
        <v/>
      </c>
    </row>
    <row r="356" spans="1:32" s="102" customFormat="1" ht="15" customHeight="1" x14ac:dyDescent="0.25">
      <c r="A356" s="265">
        <f t="shared" si="5"/>
        <v>41.333333333333336</v>
      </c>
      <c r="B356" s="265">
        <f>YEAR(Data_NFI_t[[#This Row],[Distribution Date]])</f>
        <v>2012</v>
      </c>
      <c r="C356" s="738">
        <v>41099</v>
      </c>
      <c r="D356" s="655" t="s">
        <v>288</v>
      </c>
      <c r="E356" s="654"/>
      <c r="F356" s="655" t="s">
        <v>7</v>
      </c>
      <c r="G356" s="31" t="s">
        <v>19</v>
      </c>
      <c r="H356" s="31" t="s">
        <v>268</v>
      </c>
      <c r="I356" s="31"/>
      <c r="J356" s="61"/>
      <c r="K356" s="61"/>
      <c r="L356" s="61"/>
      <c r="M356" s="61">
        <v>3</v>
      </c>
      <c r="N356" s="61"/>
      <c r="O356" s="61"/>
      <c r="P356" s="61"/>
      <c r="Q356" s="61"/>
      <c r="R356" s="708"/>
      <c r="S356" s="61"/>
      <c r="T356" s="150">
        <f>IF(NFI_Expiration=1,IF($A356&lt;VLOOKUP(I$5,NFI,5,0),1,0)*Data_NFI_t[[#This Row],[Hygiene Kit]],0)</f>
        <v>0</v>
      </c>
      <c r="U356" s="150">
        <f>IF(NFI_Expiration=1,IF($A356&lt;VLOOKUP(J$5,NFI,5,0),1,0)*Data_NFI_t[[#This Row],[NFI Core Kit]],0)</f>
        <v>0</v>
      </c>
      <c r="V356" s="131">
        <f>IF(NFI_Expiration=1,IF($A356&lt;VLOOKUP(K$5,NFI,5,0),1,0)*Data_NFI_t[[#This Row],[Sanitary Kit]],0)</f>
        <v>0</v>
      </c>
      <c r="W356" s="131">
        <f>IF(NFI_Expiration=1,IF($A356&lt;VLOOKUP(L$5,NFI,5,0),1,0)*Data_NFI_t[[#This Row],[Mosquito net]],0)</f>
        <v>0</v>
      </c>
      <c r="X356" s="131">
        <f>IF(NFI_Expiration=1,IF($A356&lt;VLOOKUP(M$5,NFI,5,0),1,0)*Data_NFI_t[[#This Row],[Tarpaulin]],0)</f>
        <v>0</v>
      </c>
      <c r="Y356" s="131">
        <f>IF(NFI_Expiration=1,IF($A356&lt;VLOOKUP(N$5,NFI,5,0),1,0)*Data_NFI_t[[#This Row],[Blanket]],0)</f>
        <v>0</v>
      </c>
      <c r="Z356" s="131">
        <f>IF(NFI_Expiration=1,IF($A356&lt;VLOOKUP(O$5,NFI,5,0),1,0)*Data_NFI_t[[#This Row],[Kitchen Set]],0)</f>
        <v>0</v>
      </c>
      <c r="AA356" s="131">
        <f>IF(NFI_Expiration=1,IF($A356&lt;VLOOKUP(P$5,NFI,5,0),1,0)*Data_NFI_t[[#This Row],[Complementary Kit]],0)</f>
        <v>0</v>
      </c>
      <c r="AB356" s="131">
        <f>IF(NFI_Expiration=1,IF($A356&lt;VLOOKUP(Q$5,NFI,5,0),1,0)*Data_NFI_t[[#This Row],[Plastic Bucket]],0)</f>
        <v>0</v>
      </c>
      <c r="AC356" s="131">
        <f>IF(NFI_Expiration=1,IF($A356&lt;VLOOKUP(R$5,NFI,5,0),1,0)*Data_NFI_t[[#This Row],[Jerry Can]],0)</f>
        <v>0</v>
      </c>
      <c r="AD356" s="150">
        <f>IF(NFI_Expiration=1,IF($A356&lt;VLOOKUP(S$5,NFI,5,0),1,0)*Data_NFI_t[[#This Row],[Plastic Mat]],0)*IF(Data_NFI_t[[#This Row],[Distribution Date]]&gt;"01-04-2014",1,2.5)</f>
        <v>0</v>
      </c>
      <c r="AE356" s="150" t="str">
        <f ca="1">IFERROR(OFFSET(Camp_List[P_Code],MATCH(Data_NFI_t[[#This Row],[Camp Name]],Camp_List[Camp Name],0)-1,0,1,1),"")</f>
        <v/>
      </c>
      <c r="AF356" s="714" t="str">
        <f ca="1">IFERROR(OFFSET(Camp_List[Status],MATCH(Data_NFI_t[[#This Row],[Camp Name]],Camp_List[Camp Name],0)-1,0,1,1),"")</f>
        <v/>
      </c>
    </row>
    <row r="357" spans="1:32" s="102" customFormat="1" ht="15" customHeight="1" x14ac:dyDescent="0.25">
      <c r="A357" s="265">
        <f t="shared" si="5"/>
        <v>41.333333333333336</v>
      </c>
      <c r="B357" s="265">
        <f>YEAR(Data_NFI_t[[#This Row],[Distribution Date]])</f>
        <v>2012</v>
      </c>
      <c r="C357" s="738">
        <v>41099</v>
      </c>
      <c r="D357" s="655" t="s">
        <v>288</v>
      </c>
      <c r="E357" s="654"/>
      <c r="F357" s="655" t="s">
        <v>7</v>
      </c>
      <c r="G357" s="31" t="s">
        <v>19</v>
      </c>
      <c r="H357" s="31" t="s">
        <v>89</v>
      </c>
      <c r="I357" s="31"/>
      <c r="J357" s="61"/>
      <c r="K357" s="61"/>
      <c r="L357" s="61"/>
      <c r="M357" s="61">
        <v>27</v>
      </c>
      <c r="N357" s="61"/>
      <c r="O357" s="61"/>
      <c r="P357" s="61"/>
      <c r="Q357" s="61"/>
      <c r="R357" s="708"/>
      <c r="S357" s="61"/>
      <c r="T357" s="150">
        <f>IF(NFI_Expiration=1,IF($A357&lt;VLOOKUP(I$5,NFI,5,0),1,0)*Data_NFI_t[[#This Row],[Hygiene Kit]],0)</f>
        <v>0</v>
      </c>
      <c r="U357" s="150">
        <f>IF(NFI_Expiration=1,IF($A357&lt;VLOOKUP(J$5,NFI,5,0),1,0)*Data_NFI_t[[#This Row],[NFI Core Kit]],0)</f>
        <v>0</v>
      </c>
      <c r="V357" s="131">
        <f>IF(NFI_Expiration=1,IF($A357&lt;VLOOKUP(K$5,NFI,5,0),1,0)*Data_NFI_t[[#This Row],[Sanitary Kit]],0)</f>
        <v>0</v>
      </c>
      <c r="W357" s="131">
        <f>IF(NFI_Expiration=1,IF($A357&lt;VLOOKUP(L$5,NFI,5,0),1,0)*Data_NFI_t[[#This Row],[Mosquito net]],0)</f>
        <v>0</v>
      </c>
      <c r="X357" s="131">
        <f>IF(NFI_Expiration=1,IF($A357&lt;VLOOKUP(M$5,NFI,5,0),1,0)*Data_NFI_t[[#This Row],[Tarpaulin]],0)</f>
        <v>0</v>
      </c>
      <c r="Y357" s="131">
        <f>IF(NFI_Expiration=1,IF($A357&lt;VLOOKUP(N$5,NFI,5,0),1,0)*Data_NFI_t[[#This Row],[Blanket]],0)</f>
        <v>0</v>
      </c>
      <c r="Z357" s="131">
        <f>IF(NFI_Expiration=1,IF($A357&lt;VLOOKUP(O$5,NFI,5,0),1,0)*Data_NFI_t[[#This Row],[Kitchen Set]],0)</f>
        <v>0</v>
      </c>
      <c r="AA357" s="131">
        <f>IF(NFI_Expiration=1,IF($A357&lt;VLOOKUP(P$5,NFI,5,0),1,0)*Data_NFI_t[[#This Row],[Complementary Kit]],0)</f>
        <v>0</v>
      </c>
      <c r="AB357" s="131">
        <f>IF(NFI_Expiration=1,IF($A357&lt;VLOOKUP(Q$5,NFI,5,0),1,0)*Data_NFI_t[[#This Row],[Plastic Bucket]],0)</f>
        <v>0</v>
      </c>
      <c r="AC357" s="131">
        <f>IF(NFI_Expiration=1,IF($A357&lt;VLOOKUP(R$5,NFI,5,0),1,0)*Data_NFI_t[[#This Row],[Jerry Can]],0)</f>
        <v>0</v>
      </c>
      <c r="AD357" s="150">
        <f>IF(NFI_Expiration=1,IF($A357&lt;VLOOKUP(S$5,NFI,5,0),1,0)*Data_NFI_t[[#This Row],[Plastic Mat]],0)*IF(Data_NFI_t[[#This Row],[Distribution Date]]&gt;"01-04-2014",1,2.5)</f>
        <v>0</v>
      </c>
      <c r="AE357" s="150" t="str">
        <f ca="1">IFERROR(OFFSET(Camp_List[P_Code],MATCH(Data_NFI_t[[#This Row],[Camp Name]],Camp_List[Camp Name],0)-1,0,1,1),"")</f>
        <v>MMR012CMP067</v>
      </c>
      <c r="AF357" s="714" t="str">
        <f ca="1">IFERROR(OFFSET(Camp_List[Status],MATCH(Data_NFI_t[[#This Row],[Camp Name]],Camp_List[Camp Name],0)-1,0,1,1),"")</f>
        <v>Close</v>
      </c>
    </row>
    <row r="358" spans="1:32" s="102" customFormat="1" ht="15" customHeight="1" x14ac:dyDescent="0.25">
      <c r="A358" s="265">
        <f t="shared" si="5"/>
        <v>41.333333333333336</v>
      </c>
      <c r="B358" s="265">
        <f>YEAR(Data_NFI_t[[#This Row],[Distribution Date]])</f>
        <v>2012</v>
      </c>
      <c r="C358" s="738">
        <v>41099</v>
      </c>
      <c r="D358" s="655" t="s">
        <v>288</v>
      </c>
      <c r="E358" s="654"/>
      <c r="F358" s="655" t="s">
        <v>7</v>
      </c>
      <c r="G358" s="31" t="s">
        <v>19</v>
      </c>
      <c r="H358" s="31" t="s">
        <v>267</v>
      </c>
      <c r="I358" s="31"/>
      <c r="J358" s="61"/>
      <c r="K358" s="61"/>
      <c r="L358" s="61"/>
      <c r="M358" s="61">
        <v>19</v>
      </c>
      <c r="N358" s="61"/>
      <c r="O358" s="61"/>
      <c r="P358" s="61"/>
      <c r="Q358" s="61"/>
      <c r="R358" s="708"/>
      <c r="S358" s="61"/>
      <c r="T358" s="150">
        <f>IF(NFI_Expiration=1,IF($A358&lt;VLOOKUP(I$5,NFI,5,0),1,0)*Data_NFI_t[[#This Row],[Hygiene Kit]],0)</f>
        <v>0</v>
      </c>
      <c r="U358" s="150">
        <f>IF(NFI_Expiration=1,IF($A358&lt;VLOOKUP(J$5,NFI,5,0),1,0)*Data_NFI_t[[#This Row],[NFI Core Kit]],0)</f>
        <v>0</v>
      </c>
      <c r="V358" s="131">
        <f>IF(NFI_Expiration=1,IF($A358&lt;VLOOKUP(K$5,NFI,5,0),1,0)*Data_NFI_t[[#This Row],[Sanitary Kit]],0)</f>
        <v>0</v>
      </c>
      <c r="W358" s="131">
        <f>IF(NFI_Expiration=1,IF($A358&lt;VLOOKUP(L$5,NFI,5,0),1,0)*Data_NFI_t[[#This Row],[Mosquito net]],0)</f>
        <v>0</v>
      </c>
      <c r="X358" s="131">
        <f>IF(NFI_Expiration=1,IF($A358&lt;VLOOKUP(M$5,NFI,5,0),1,0)*Data_NFI_t[[#This Row],[Tarpaulin]],0)</f>
        <v>0</v>
      </c>
      <c r="Y358" s="131">
        <f>IF(NFI_Expiration=1,IF($A358&lt;VLOOKUP(N$5,NFI,5,0),1,0)*Data_NFI_t[[#This Row],[Blanket]],0)</f>
        <v>0</v>
      </c>
      <c r="Z358" s="131">
        <f>IF(NFI_Expiration=1,IF($A358&lt;VLOOKUP(O$5,NFI,5,0),1,0)*Data_NFI_t[[#This Row],[Kitchen Set]],0)</f>
        <v>0</v>
      </c>
      <c r="AA358" s="131">
        <f>IF(NFI_Expiration=1,IF($A358&lt;VLOOKUP(P$5,NFI,5,0),1,0)*Data_NFI_t[[#This Row],[Complementary Kit]],0)</f>
        <v>0</v>
      </c>
      <c r="AB358" s="131">
        <f>IF(NFI_Expiration=1,IF($A358&lt;VLOOKUP(Q$5,NFI,5,0),1,0)*Data_NFI_t[[#This Row],[Plastic Bucket]],0)</f>
        <v>0</v>
      </c>
      <c r="AC358" s="131">
        <f>IF(NFI_Expiration=1,IF($A358&lt;VLOOKUP(R$5,NFI,5,0),1,0)*Data_NFI_t[[#This Row],[Jerry Can]],0)</f>
        <v>0</v>
      </c>
      <c r="AD358" s="150">
        <f>IF(NFI_Expiration=1,IF($A358&lt;VLOOKUP(S$5,NFI,5,0),1,0)*Data_NFI_t[[#This Row],[Plastic Mat]],0)*IF(Data_NFI_t[[#This Row],[Distribution Date]]&gt;"01-04-2014",1,2.5)</f>
        <v>0</v>
      </c>
      <c r="AE358" s="150" t="str">
        <f ca="1">IFERROR(OFFSET(Camp_List[P_Code],MATCH(Data_NFI_t[[#This Row],[Camp Name]],Camp_List[Camp Name],0)-1,0,1,1),"")</f>
        <v/>
      </c>
      <c r="AF358" s="714" t="str">
        <f ca="1">IFERROR(OFFSET(Camp_List[Status],MATCH(Data_NFI_t[[#This Row],[Camp Name]],Camp_List[Camp Name],0)-1,0,1,1),"")</f>
        <v/>
      </c>
    </row>
    <row r="359" spans="1:32" s="102" customFormat="1" ht="15" customHeight="1" x14ac:dyDescent="0.25">
      <c r="A359" s="265">
        <f t="shared" si="5"/>
        <v>41.4</v>
      </c>
      <c r="B359" s="265">
        <f>YEAR(Data_NFI_t[[#This Row],[Distribution Date]])</f>
        <v>2012</v>
      </c>
      <c r="C359" s="738">
        <v>41097</v>
      </c>
      <c r="D359" s="655" t="s">
        <v>288</v>
      </c>
      <c r="E359" s="654"/>
      <c r="F359" s="655" t="s">
        <v>7</v>
      </c>
      <c r="G359" s="31" t="s">
        <v>19</v>
      </c>
      <c r="H359" s="31" t="s">
        <v>260</v>
      </c>
      <c r="I359" s="31"/>
      <c r="J359" s="61"/>
      <c r="K359" s="61"/>
      <c r="L359" s="61"/>
      <c r="M359" s="61">
        <v>33</v>
      </c>
      <c r="N359" s="61"/>
      <c r="O359" s="61"/>
      <c r="P359" s="61"/>
      <c r="Q359" s="61"/>
      <c r="R359" s="708"/>
      <c r="S359" s="61"/>
      <c r="T359" s="150">
        <f>IF(NFI_Expiration=1,IF($A359&lt;VLOOKUP(I$5,NFI,5,0),1,0)*Data_NFI_t[[#This Row],[Hygiene Kit]],0)</f>
        <v>0</v>
      </c>
      <c r="U359" s="150">
        <f>IF(NFI_Expiration=1,IF($A359&lt;VLOOKUP(J$5,NFI,5,0),1,0)*Data_NFI_t[[#This Row],[NFI Core Kit]],0)</f>
        <v>0</v>
      </c>
      <c r="V359" s="131">
        <f>IF(NFI_Expiration=1,IF($A359&lt;VLOOKUP(K$5,NFI,5,0),1,0)*Data_NFI_t[[#This Row],[Sanitary Kit]],0)</f>
        <v>0</v>
      </c>
      <c r="W359" s="131">
        <f>IF(NFI_Expiration=1,IF($A359&lt;VLOOKUP(L$5,NFI,5,0),1,0)*Data_NFI_t[[#This Row],[Mosquito net]],0)</f>
        <v>0</v>
      </c>
      <c r="X359" s="131">
        <f>IF(NFI_Expiration=1,IF($A359&lt;VLOOKUP(M$5,NFI,5,0),1,0)*Data_NFI_t[[#This Row],[Tarpaulin]],0)</f>
        <v>0</v>
      </c>
      <c r="Y359" s="131">
        <f>IF(NFI_Expiration=1,IF($A359&lt;VLOOKUP(N$5,NFI,5,0),1,0)*Data_NFI_t[[#This Row],[Blanket]],0)</f>
        <v>0</v>
      </c>
      <c r="Z359" s="131">
        <f>IF(NFI_Expiration=1,IF($A359&lt;VLOOKUP(O$5,NFI,5,0),1,0)*Data_NFI_t[[#This Row],[Kitchen Set]],0)</f>
        <v>0</v>
      </c>
      <c r="AA359" s="131">
        <f>IF(NFI_Expiration=1,IF($A359&lt;VLOOKUP(P$5,NFI,5,0),1,0)*Data_NFI_t[[#This Row],[Complementary Kit]],0)</f>
        <v>0</v>
      </c>
      <c r="AB359" s="131">
        <f>IF(NFI_Expiration=1,IF($A359&lt;VLOOKUP(Q$5,NFI,5,0),1,0)*Data_NFI_t[[#This Row],[Plastic Bucket]],0)</f>
        <v>0</v>
      </c>
      <c r="AC359" s="131">
        <f>IF(NFI_Expiration=1,IF($A359&lt;VLOOKUP(R$5,NFI,5,0),1,0)*Data_NFI_t[[#This Row],[Jerry Can]],0)</f>
        <v>0</v>
      </c>
      <c r="AD359" s="150">
        <f>IF(NFI_Expiration=1,IF($A359&lt;VLOOKUP(S$5,NFI,5,0),1,0)*Data_NFI_t[[#This Row],[Plastic Mat]],0)*IF(Data_NFI_t[[#This Row],[Distribution Date]]&gt;"01-04-2014",1,2.5)</f>
        <v>0</v>
      </c>
      <c r="AE359" s="150" t="str">
        <f ca="1">IFERROR(OFFSET(Camp_List[P_Code],MATCH(Data_NFI_t[[#This Row],[Camp Name]],Camp_List[Camp Name],0)-1,0,1,1),"")</f>
        <v/>
      </c>
      <c r="AF359" s="714" t="str">
        <f ca="1">IFERROR(OFFSET(Camp_List[Status],MATCH(Data_NFI_t[[#This Row],[Camp Name]],Camp_List[Camp Name],0)-1,0,1,1),"")</f>
        <v/>
      </c>
    </row>
    <row r="360" spans="1:32" s="102" customFormat="1" ht="15" customHeight="1" x14ac:dyDescent="0.25">
      <c r="A360" s="265">
        <f t="shared" si="5"/>
        <v>41.4</v>
      </c>
      <c r="B360" s="265">
        <f>YEAR(Data_NFI_t[[#This Row],[Distribution Date]])</f>
        <v>2012</v>
      </c>
      <c r="C360" s="738">
        <v>41097</v>
      </c>
      <c r="D360" s="655" t="s">
        <v>288</v>
      </c>
      <c r="E360" s="654"/>
      <c r="F360" s="655" t="s">
        <v>7</v>
      </c>
      <c r="G360" s="31" t="s">
        <v>19</v>
      </c>
      <c r="H360" s="31" t="s">
        <v>84</v>
      </c>
      <c r="I360" s="31"/>
      <c r="J360" s="61"/>
      <c r="K360" s="61"/>
      <c r="L360" s="61"/>
      <c r="M360" s="61">
        <v>9</v>
      </c>
      <c r="N360" s="61"/>
      <c r="O360" s="61"/>
      <c r="P360" s="61"/>
      <c r="Q360" s="61"/>
      <c r="R360" s="708"/>
      <c r="S360" s="61"/>
      <c r="T360" s="150">
        <f>IF(NFI_Expiration=1,IF($A360&lt;VLOOKUP(I$5,NFI,5,0),1,0)*Data_NFI_t[[#This Row],[Hygiene Kit]],0)</f>
        <v>0</v>
      </c>
      <c r="U360" s="150">
        <f>IF(NFI_Expiration=1,IF($A360&lt;VLOOKUP(J$5,NFI,5,0),1,0)*Data_NFI_t[[#This Row],[NFI Core Kit]],0)</f>
        <v>0</v>
      </c>
      <c r="V360" s="131">
        <f>IF(NFI_Expiration=1,IF($A360&lt;VLOOKUP(K$5,NFI,5,0),1,0)*Data_NFI_t[[#This Row],[Sanitary Kit]],0)</f>
        <v>0</v>
      </c>
      <c r="W360" s="131">
        <f>IF(NFI_Expiration=1,IF($A360&lt;VLOOKUP(L$5,NFI,5,0),1,0)*Data_NFI_t[[#This Row],[Mosquito net]],0)</f>
        <v>0</v>
      </c>
      <c r="X360" s="131">
        <f>IF(NFI_Expiration=1,IF($A360&lt;VLOOKUP(M$5,NFI,5,0),1,0)*Data_NFI_t[[#This Row],[Tarpaulin]],0)</f>
        <v>0</v>
      </c>
      <c r="Y360" s="131">
        <f>IF(NFI_Expiration=1,IF($A360&lt;VLOOKUP(N$5,NFI,5,0),1,0)*Data_NFI_t[[#This Row],[Blanket]],0)</f>
        <v>0</v>
      </c>
      <c r="Z360" s="131">
        <f>IF(NFI_Expiration=1,IF($A360&lt;VLOOKUP(O$5,NFI,5,0),1,0)*Data_NFI_t[[#This Row],[Kitchen Set]],0)</f>
        <v>0</v>
      </c>
      <c r="AA360" s="131">
        <f>IF(NFI_Expiration=1,IF($A360&lt;VLOOKUP(P$5,NFI,5,0),1,0)*Data_NFI_t[[#This Row],[Complementary Kit]],0)</f>
        <v>0</v>
      </c>
      <c r="AB360" s="131">
        <f>IF(NFI_Expiration=1,IF($A360&lt;VLOOKUP(Q$5,NFI,5,0),1,0)*Data_NFI_t[[#This Row],[Plastic Bucket]],0)</f>
        <v>0</v>
      </c>
      <c r="AC360" s="131">
        <f>IF(NFI_Expiration=1,IF($A360&lt;VLOOKUP(R$5,NFI,5,0),1,0)*Data_NFI_t[[#This Row],[Jerry Can]],0)</f>
        <v>0</v>
      </c>
      <c r="AD360" s="150">
        <f>IF(NFI_Expiration=1,IF($A360&lt;VLOOKUP(S$5,NFI,5,0),1,0)*Data_NFI_t[[#This Row],[Plastic Mat]],0)*IF(Data_NFI_t[[#This Row],[Distribution Date]]&gt;"01-04-2014",1,2.5)</f>
        <v>0</v>
      </c>
      <c r="AE360" s="150" t="str">
        <f ca="1">IFERROR(OFFSET(Camp_List[P_Code],MATCH(Data_NFI_t[[#This Row],[Camp Name]],Camp_List[Camp Name],0)-1,0,1,1),"")</f>
        <v>MMR012CMP062</v>
      </c>
      <c r="AF360" s="714" t="str">
        <f ca="1">IFERROR(OFFSET(Camp_List[Status],MATCH(Data_NFI_t[[#This Row],[Camp Name]],Camp_List[Camp Name],0)-1,0,1,1),"")</f>
        <v>Close</v>
      </c>
    </row>
    <row r="361" spans="1:32" s="102" customFormat="1" ht="15" customHeight="1" x14ac:dyDescent="0.25">
      <c r="A361" s="265">
        <f t="shared" si="5"/>
        <v>41.4</v>
      </c>
      <c r="B361" s="265">
        <f>YEAR(Data_NFI_t[[#This Row],[Distribution Date]])</f>
        <v>2012</v>
      </c>
      <c r="C361" s="738">
        <v>41097</v>
      </c>
      <c r="D361" s="655" t="s">
        <v>288</v>
      </c>
      <c r="E361" s="654"/>
      <c r="F361" s="655" t="s">
        <v>7</v>
      </c>
      <c r="G361" s="31" t="s">
        <v>19</v>
      </c>
      <c r="H361" s="31" t="s">
        <v>87</v>
      </c>
      <c r="I361" s="31"/>
      <c r="J361" s="61"/>
      <c r="K361" s="61"/>
      <c r="L361" s="61"/>
      <c r="M361" s="61">
        <v>201</v>
      </c>
      <c r="N361" s="61"/>
      <c r="O361" s="61"/>
      <c r="P361" s="61"/>
      <c r="Q361" s="61"/>
      <c r="R361" s="708"/>
      <c r="S361" s="61"/>
      <c r="T361" s="150">
        <f>IF(NFI_Expiration=1,IF($A361&lt;VLOOKUP(I$5,NFI,5,0),1,0)*Data_NFI_t[[#This Row],[Hygiene Kit]],0)</f>
        <v>0</v>
      </c>
      <c r="U361" s="150">
        <f>IF(NFI_Expiration=1,IF($A361&lt;VLOOKUP(J$5,NFI,5,0),1,0)*Data_NFI_t[[#This Row],[NFI Core Kit]],0)</f>
        <v>0</v>
      </c>
      <c r="V361" s="131">
        <f>IF(NFI_Expiration=1,IF($A361&lt;VLOOKUP(K$5,NFI,5,0),1,0)*Data_NFI_t[[#This Row],[Sanitary Kit]],0)</f>
        <v>0</v>
      </c>
      <c r="W361" s="131">
        <f>IF(NFI_Expiration=1,IF($A361&lt;VLOOKUP(L$5,NFI,5,0),1,0)*Data_NFI_t[[#This Row],[Mosquito net]],0)</f>
        <v>0</v>
      </c>
      <c r="X361" s="131">
        <f>IF(NFI_Expiration=1,IF($A361&lt;VLOOKUP(M$5,NFI,5,0),1,0)*Data_NFI_t[[#This Row],[Tarpaulin]],0)</f>
        <v>0</v>
      </c>
      <c r="Y361" s="131">
        <f>IF(NFI_Expiration=1,IF($A361&lt;VLOOKUP(N$5,NFI,5,0),1,0)*Data_NFI_t[[#This Row],[Blanket]],0)</f>
        <v>0</v>
      </c>
      <c r="Z361" s="131">
        <f>IF(NFI_Expiration=1,IF($A361&lt;VLOOKUP(O$5,NFI,5,0),1,0)*Data_NFI_t[[#This Row],[Kitchen Set]],0)</f>
        <v>0</v>
      </c>
      <c r="AA361" s="131">
        <f>IF(NFI_Expiration=1,IF($A361&lt;VLOOKUP(P$5,NFI,5,0),1,0)*Data_NFI_t[[#This Row],[Complementary Kit]],0)</f>
        <v>0</v>
      </c>
      <c r="AB361" s="131">
        <f>IF(NFI_Expiration=1,IF($A361&lt;VLOOKUP(Q$5,NFI,5,0),1,0)*Data_NFI_t[[#This Row],[Plastic Bucket]],0)</f>
        <v>0</v>
      </c>
      <c r="AC361" s="131">
        <f>IF(NFI_Expiration=1,IF($A361&lt;VLOOKUP(R$5,NFI,5,0),1,0)*Data_NFI_t[[#This Row],[Jerry Can]],0)</f>
        <v>0</v>
      </c>
      <c r="AD361" s="150">
        <f>IF(NFI_Expiration=1,IF($A361&lt;VLOOKUP(S$5,NFI,5,0),1,0)*Data_NFI_t[[#This Row],[Plastic Mat]],0)*IF(Data_NFI_t[[#This Row],[Distribution Date]]&gt;"01-04-2014",1,2.5)</f>
        <v>0</v>
      </c>
      <c r="AE361" s="150" t="str">
        <f ca="1">IFERROR(OFFSET(Camp_List[P_Code],MATCH(Data_NFI_t[[#This Row],[Camp Name]],Camp_List[Camp Name],0)-1,0,1,1),"")</f>
        <v>MMR012CMP065</v>
      </c>
      <c r="AF361" s="714" t="str">
        <f ca="1">IFERROR(OFFSET(Camp_List[Status],MATCH(Data_NFI_t[[#This Row],[Camp Name]],Camp_List[Camp Name],0)-1,0,1,1),"")</f>
        <v>Close</v>
      </c>
    </row>
    <row r="362" spans="1:32" s="102" customFormat="1" ht="15" customHeight="1" x14ac:dyDescent="0.25">
      <c r="A362" s="265">
        <f t="shared" si="5"/>
        <v>41.4</v>
      </c>
      <c r="B362" s="265">
        <f>YEAR(Data_NFI_t[[#This Row],[Distribution Date]])</f>
        <v>2012</v>
      </c>
      <c r="C362" s="738">
        <v>41097</v>
      </c>
      <c r="D362" s="655" t="s">
        <v>288</v>
      </c>
      <c r="E362" s="654"/>
      <c r="F362" s="655" t="s">
        <v>7</v>
      </c>
      <c r="G362" s="31" t="s">
        <v>19</v>
      </c>
      <c r="H362" s="31" t="s">
        <v>96</v>
      </c>
      <c r="I362" s="31"/>
      <c r="J362" s="61"/>
      <c r="K362" s="61"/>
      <c r="L362" s="61"/>
      <c r="M362" s="61">
        <v>52</v>
      </c>
      <c r="N362" s="61"/>
      <c r="O362" s="61"/>
      <c r="P362" s="61"/>
      <c r="Q362" s="61"/>
      <c r="R362" s="708"/>
      <c r="S362" s="61"/>
      <c r="T362" s="150">
        <f>IF(NFI_Expiration=1,IF($A362&lt;VLOOKUP(I$5,NFI,5,0),1,0)*Data_NFI_t[[#This Row],[Hygiene Kit]],0)</f>
        <v>0</v>
      </c>
      <c r="U362" s="150">
        <f>IF(NFI_Expiration=1,IF($A362&lt;VLOOKUP(J$5,NFI,5,0),1,0)*Data_NFI_t[[#This Row],[NFI Core Kit]],0)</f>
        <v>0</v>
      </c>
      <c r="V362" s="131">
        <f>IF(NFI_Expiration=1,IF($A362&lt;VLOOKUP(K$5,NFI,5,0),1,0)*Data_NFI_t[[#This Row],[Sanitary Kit]],0)</f>
        <v>0</v>
      </c>
      <c r="W362" s="131">
        <f>IF(NFI_Expiration=1,IF($A362&lt;VLOOKUP(L$5,NFI,5,0),1,0)*Data_NFI_t[[#This Row],[Mosquito net]],0)</f>
        <v>0</v>
      </c>
      <c r="X362" s="131">
        <f>IF(NFI_Expiration=1,IF($A362&lt;VLOOKUP(M$5,NFI,5,0),1,0)*Data_NFI_t[[#This Row],[Tarpaulin]],0)</f>
        <v>0</v>
      </c>
      <c r="Y362" s="131">
        <f>IF(NFI_Expiration=1,IF($A362&lt;VLOOKUP(N$5,NFI,5,0),1,0)*Data_NFI_t[[#This Row],[Blanket]],0)</f>
        <v>0</v>
      </c>
      <c r="Z362" s="131">
        <f>IF(NFI_Expiration=1,IF($A362&lt;VLOOKUP(O$5,NFI,5,0),1,0)*Data_NFI_t[[#This Row],[Kitchen Set]],0)</f>
        <v>0</v>
      </c>
      <c r="AA362" s="131">
        <f>IF(NFI_Expiration=1,IF($A362&lt;VLOOKUP(P$5,NFI,5,0),1,0)*Data_NFI_t[[#This Row],[Complementary Kit]],0)</f>
        <v>0</v>
      </c>
      <c r="AB362" s="131">
        <f>IF(NFI_Expiration=1,IF($A362&lt;VLOOKUP(Q$5,NFI,5,0),1,0)*Data_NFI_t[[#This Row],[Plastic Bucket]],0)</f>
        <v>0</v>
      </c>
      <c r="AC362" s="131">
        <f>IF(NFI_Expiration=1,IF($A362&lt;VLOOKUP(R$5,NFI,5,0),1,0)*Data_NFI_t[[#This Row],[Jerry Can]],0)</f>
        <v>0</v>
      </c>
      <c r="AD362" s="150">
        <f>IF(NFI_Expiration=1,IF($A362&lt;VLOOKUP(S$5,NFI,5,0),1,0)*Data_NFI_t[[#This Row],[Plastic Mat]],0)*IF(Data_NFI_t[[#This Row],[Distribution Date]]&gt;"01-04-2014",1,2.5)</f>
        <v>0</v>
      </c>
      <c r="AE362" s="150" t="str">
        <f ca="1">IFERROR(OFFSET(Camp_List[P_Code],MATCH(Data_NFI_t[[#This Row],[Camp Name]],Camp_List[Camp Name],0)-1,0,1,1),"")</f>
        <v>MMR012CMP074</v>
      </c>
      <c r="AF362" s="714" t="str">
        <f ca="1">IFERROR(OFFSET(Camp_List[Status],MATCH(Data_NFI_t[[#This Row],[Camp Name]],Camp_List[Camp Name],0)-1,0,1,1),"")</f>
        <v>Close</v>
      </c>
    </row>
    <row r="363" spans="1:32" s="102" customFormat="1" ht="15" customHeight="1" x14ac:dyDescent="0.25">
      <c r="A363" s="265">
        <f t="shared" si="5"/>
        <v>41.466666666666669</v>
      </c>
      <c r="B363" s="265">
        <f>YEAR(Data_NFI_t[[#This Row],[Distribution Date]])</f>
        <v>2012</v>
      </c>
      <c r="C363" s="738">
        <v>41095</v>
      </c>
      <c r="D363" s="655" t="s">
        <v>288</v>
      </c>
      <c r="E363" s="654"/>
      <c r="F363" s="655" t="s">
        <v>7</v>
      </c>
      <c r="G363" s="31" t="s">
        <v>19</v>
      </c>
      <c r="H363" s="31" t="s">
        <v>91</v>
      </c>
      <c r="I363" s="31"/>
      <c r="J363" s="61"/>
      <c r="K363" s="61"/>
      <c r="L363" s="61"/>
      <c r="M363" s="61">
        <v>43</v>
      </c>
      <c r="N363" s="61"/>
      <c r="O363" s="61"/>
      <c r="P363" s="61"/>
      <c r="Q363" s="61"/>
      <c r="R363" s="708"/>
      <c r="S363" s="61"/>
      <c r="T363" s="150">
        <f>IF(NFI_Expiration=1,IF($A363&lt;VLOOKUP(I$5,NFI,5,0),1,0)*Data_NFI_t[[#This Row],[Hygiene Kit]],0)</f>
        <v>0</v>
      </c>
      <c r="U363" s="150">
        <f>IF(NFI_Expiration=1,IF($A363&lt;VLOOKUP(J$5,NFI,5,0),1,0)*Data_NFI_t[[#This Row],[NFI Core Kit]],0)</f>
        <v>0</v>
      </c>
      <c r="V363" s="131">
        <f>IF(NFI_Expiration=1,IF($A363&lt;VLOOKUP(K$5,NFI,5,0),1,0)*Data_NFI_t[[#This Row],[Sanitary Kit]],0)</f>
        <v>0</v>
      </c>
      <c r="W363" s="131">
        <f>IF(NFI_Expiration=1,IF($A363&lt;VLOOKUP(L$5,NFI,5,0),1,0)*Data_NFI_t[[#This Row],[Mosquito net]],0)</f>
        <v>0</v>
      </c>
      <c r="X363" s="131">
        <f>IF(NFI_Expiration=1,IF($A363&lt;VLOOKUP(M$5,NFI,5,0),1,0)*Data_NFI_t[[#This Row],[Tarpaulin]],0)</f>
        <v>0</v>
      </c>
      <c r="Y363" s="131">
        <f>IF(NFI_Expiration=1,IF($A363&lt;VLOOKUP(N$5,NFI,5,0),1,0)*Data_NFI_t[[#This Row],[Blanket]],0)</f>
        <v>0</v>
      </c>
      <c r="Z363" s="131">
        <f>IF(NFI_Expiration=1,IF($A363&lt;VLOOKUP(O$5,NFI,5,0),1,0)*Data_NFI_t[[#This Row],[Kitchen Set]],0)</f>
        <v>0</v>
      </c>
      <c r="AA363" s="131">
        <f>IF(NFI_Expiration=1,IF($A363&lt;VLOOKUP(P$5,NFI,5,0),1,0)*Data_NFI_t[[#This Row],[Complementary Kit]],0)</f>
        <v>0</v>
      </c>
      <c r="AB363" s="131">
        <f>IF(NFI_Expiration=1,IF($A363&lt;VLOOKUP(Q$5,NFI,5,0),1,0)*Data_NFI_t[[#This Row],[Plastic Bucket]],0)</f>
        <v>0</v>
      </c>
      <c r="AC363" s="131">
        <f>IF(NFI_Expiration=1,IF($A363&lt;VLOOKUP(R$5,NFI,5,0),1,0)*Data_NFI_t[[#This Row],[Jerry Can]],0)</f>
        <v>0</v>
      </c>
      <c r="AD363" s="150">
        <f>IF(NFI_Expiration=1,IF($A363&lt;VLOOKUP(S$5,NFI,5,0),1,0)*Data_NFI_t[[#This Row],[Plastic Mat]],0)*IF(Data_NFI_t[[#This Row],[Distribution Date]]&gt;"01-04-2014",1,2.5)</f>
        <v>0</v>
      </c>
      <c r="AE363" s="150" t="str">
        <f ca="1">IFERROR(OFFSET(Camp_List[P_Code],MATCH(Data_NFI_t[[#This Row],[Camp Name]],Camp_List[Camp Name],0)-1,0,1,1),"")</f>
        <v>MMR012CMP069</v>
      </c>
      <c r="AF363" s="714" t="str">
        <f ca="1">IFERROR(OFFSET(Camp_List[Status],MATCH(Data_NFI_t[[#This Row],[Camp Name]],Camp_List[Camp Name],0)-1,0,1,1),"")</f>
        <v>Close</v>
      </c>
    </row>
    <row r="364" spans="1:32" s="102" customFormat="1" ht="15" customHeight="1" x14ac:dyDescent="0.25">
      <c r="A364" s="265">
        <f t="shared" si="5"/>
        <v>41.466666666666669</v>
      </c>
      <c r="B364" s="265">
        <f>YEAR(Data_NFI_t[[#This Row],[Distribution Date]])</f>
        <v>2012</v>
      </c>
      <c r="C364" s="738">
        <v>41095</v>
      </c>
      <c r="D364" s="655" t="s">
        <v>288</v>
      </c>
      <c r="E364" s="654"/>
      <c r="F364" s="655" t="s">
        <v>7</v>
      </c>
      <c r="G364" s="31" t="s">
        <v>19</v>
      </c>
      <c r="H364" s="31" t="s">
        <v>259</v>
      </c>
      <c r="I364" s="31"/>
      <c r="J364" s="61"/>
      <c r="K364" s="61"/>
      <c r="L364" s="61"/>
      <c r="M364" s="61">
        <v>171</v>
      </c>
      <c r="N364" s="61"/>
      <c r="O364" s="61"/>
      <c r="P364" s="61"/>
      <c r="Q364" s="61"/>
      <c r="R364" s="708"/>
      <c r="S364" s="61"/>
      <c r="T364" s="150">
        <f>IF(NFI_Expiration=1,IF($A364&lt;VLOOKUP(I$5,NFI,5,0),1,0)*Data_NFI_t[[#This Row],[Hygiene Kit]],0)</f>
        <v>0</v>
      </c>
      <c r="U364" s="150">
        <f>IF(NFI_Expiration=1,IF($A364&lt;VLOOKUP(J$5,NFI,5,0),1,0)*Data_NFI_t[[#This Row],[NFI Core Kit]],0)</f>
        <v>0</v>
      </c>
      <c r="V364" s="131">
        <f>IF(NFI_Expiration=1,IF($A364&lt;VLOOKUP(K$5,NFI,5,0),1,0)*Data_NFI_t[[#This Row],[Sanitary Kit]],0)</f>
        <v>0</v>
      </c>
      <c r="W364" s="131">
        <f>IF(NFI_Expiration=1,IF($A364&lt;VLOOKUP(L$5,NFI,5,0),1,0)*Data_NFI_t[[#This Row],[Mosquito net]],0)</f>
        <v>0</v>
      </c>
      <c r="X364" s="131">
        <f>IF(NFI_Expiration=1,IF($A364&lt;VLOOKUP(M$5,NFI,5,0),1,0)*Data_NFI_t[[#This Row],[Tarpaulin]],0)</f>
        <v>0</v>
      </c>
      <c r="Y364" s="131">
        <f>IF(NFI_Expiration=1,IF($A364&lt;VLOOKUP(N$5,NFI,5,0),1,0)*Data_NFI_t[[#This Row],[Blanket]],0)</f>
        <v>0</v>
      </c>
      <c r="Z364" s="131">
        <f>IF(NFI_Expiration=1,IF($A364&lt;VLOOKUP(O$5,NFI,5,0),1,0)*Data_NFI_t[[#This Row],[Kitchen Set]],0)</f>
        <v>0</v>
      </c>
      <c r="AA364" s="131">
        <f>IF(NFI_Expiration=1,IF($A364&lt;VLOOKUP(P$5,NFI,5,0),1,0)*Data_NFI_t[[#This Row],[Complementary Kit]],0)</f>
        <v>0</v>
      </c>
      <c r="AB364" s="131">
        <f>IF(NFI_Expiration=1,IF($A364&lt;VLOOKUP(Q$5,NFI,5,0),1,0)*Data_NFI_t[[#This Row],[Plastic Bucket]],0)</f>
        <v>0</v>
      </c>
      <c r="AC364" s="131">
        <f>IF(NFI_Expiration=1,IF($A364&lt;VLOOKUP(R$5,NFI,5,0),1,0)*Data_NFI_t[[#This Row],[Jerry Can]],0)</f>
        <v>0</v>
      </c>
      <c r="AD364" s="150">
        <f>IF(NFI_Expiration=1,IF($A364&lt;VLOOKUP(S$5,NFI,5,0),1,0)*Data_NFI_t[[#This Row],[Plastic Mat]],0)*IF(Data_NFI_t[[#This Row],[Distribution Date]]&gt;"01-04-2014",1,2.5)</f>
        <v>0</v>
      </c>
      <c r="AE364" s="150" t="str">
        <f ca="1">IFERROR(OFFSET(Camp_List[P_Code],MATCH(Data_NFI_t[[#This Row],[Camp Name]],Camp_List[Camp Name],0)-1,0,1,1),"")</f>
        <v/>
      </c>
      <c r="AF364" s="714" t="str">
        <f ca="1">IFERROR(OFFSET(Camp_List[Status],MATCH(Data_NFI_t[[#This Row],[Camp Name]],Camp_List[Camp Name],0)-1,0,1,1),"")</f>
        <v/>
      </c>
    </row>
    <row r="365" spans="1:32" s="102" customFormat="1" ht="15" customHeight="1" x14ac:dyDescent="0.25">
      <c r="A365" s="265">
        <f t="shared" si="5"/>
        <v>41.466666666666669</v>
      </c>
      <c r="B365" s="265">
        <f>YEAR(Data_NFI_t[[#This Row],[Distribution Date]])</f>
        <v>2012</v>
      </c>
      <c r="C365" s="738">
        <v>41095</v>
      </c>
      <c r="D365" s="655" t="s">
        <v>288</v>
      </c>
      <c r="E365" s="654"/>
      <c r="F365" s="655" t="s">
        <v>7</v>
      </c>
      <c r="G365" s="31" t="s">
        <v>19</v>
      </c>
      <c r="H365" s="31" t="s">
        <v>63</v>
      </c>
      <c r="I365" s="31"/>
      <c r="J365" s="61"/>
      <c r="K365" s="61"/>
      <c r="L365" s="61"/>
      <c r="M365" s="61">
        <v>18</v>
      </c>
      <c r="N365" s="61"/>
      <c r="O365" s="61"/>
      <c r="P365" s="61"/>
      <c r="Q365" s="61"/>
      <c r="R365" s="708"/>
      <c r="S365" s="61"/>
      <c r="T365" s="150">
        <f>IF(NFI_Expiration=1,IF($A365&lt;VLOOKUP(I$5,NFI,5,0),1,0)*Data_NFI_t[[#This Row],[Hygiene Kit]],0)</f>
        <v>0</v>
      </c>
      <c r="U365" s="150">
        <f>IF(NFI_Expiration=1,IF($A365&lt;VLOOKUP(J$5,NFI,5,0),1,0)*Data_NFI_t[[#This Row],[NFI Core Kit]],0)</f>
        <v>0</v>
      </c>
      <c r="V365" s="131">
        <f>IF(NFI_Expiration=1,IF($A365&lt;VLOOKUP(K$5,NFI,5,0),1,0)*Data_NFI_t[[#This Row],[Sanitary Kit]],0)</f>
        <v>0</v>
      </c>
      <c r="W365" s="131">
        <f>IF(NFI_Expiration=1,IF($A365&lt;VLOOKUP(L$5,NFI,5,0),1,0)*Data_NFI_t[[#This Row],[Mosquito net]],0)</f>
        <v>0</v>
      </c>
      <c r="X365" s="131">
        <f>IF(NFI_Expiration=1,IF($A365&lt;VLOOKUP(M$5,NFI,5,0),1,0)*Data_NFI_t[[#This Row],[Tarpaulin]],0)</f>
        <v>0</v>
      </c>
      <c r="Y365" s="131">
        <f>IF(NFI_Expiration=1,IF($A365&lt;VLOOKUP(N$5,NFI,5,0),1,0)*Data_NFI_t[[#This Row],[Blanket]],0)</f>
        <v>0</v>
      </c>
      <c r="Z365" s="131">
        <f>IF(NFI_Expiration=1,IF($A365&lt;VLOOKUP(O$5,NFI,5,0),1,0)*Data_NFI_t[[#This Row],[Kitchen Set]],0)</f>
        <v>0</v>
      </c>
      <c r="AA365" s="131">
        <f>IF(NFI_Expiration=1,IF($A365&lt;VLOOKUP(P$5,NFI,5,0),1,0)*Data_NFI_t[[#This Row],[Complementary Kit]],0)</f>
        <v>0</v>
      </c>
      <c r="AB365" s="131">
        <f>IF(NFI_Expiration=1,IF($A365&lt;VLOOKUP(Q$5,NFI,5,0),1,0)*Data_NFI_t[[#This Row],[Plastic Bucket]],0)</f>
        <v>0</v>
      </c>
      <c r="AC365" s="131">
        <f>IF(NFI_Expiration=1,IF($A365&lt;VLOOKUP(R$5,NFI,5,0),1,0)*Data_NFI_t[[#This Row],[Jerry Can]],0)</f>
        <v>0</v>
      </c>
      <c r="AD365" s="150">
        <f>IF(NFI_Expiration=1,IF($A365&lt;VLOOKUP(S$5,NFI,5,0),1,0)*Data_NFI_t[[#This Row],[Plastic Mat]],0)*IF(Data_NFI_t[[#This Row],[Distribution Date]]&gt;"01-04-2014",1,2.5)</f>
        <v>0</v>
      </c>
      <c r="AE365" s="150" t="str">
        <f ca="1">IFERROR(OFFSET(Camp_List[P_Code],MATCH(Data_NFI_t[[#This Row],[Camp Name]],Camp_List[Camp Name],0)-1,0,1,1),"")</f>
        <v>MMR012CMP041</v>
      </c>
      <c r="AF365" s="714" t="str">
        <f ca="1">IFERROR(OFFSET(Camp_List[Status],MATCH(Data_NFI_t[[#This Row],[Camp Name]],Camp_List[Camp Name],0)-1,0,1,1),"")</f>
        <v>Open</v>
      </c>
    </row>
    <row r="366" spans="1:32" s="102" customFormat="1" ht="15" customHeight="1" x14ac:dyDescent="0.25">
      <c r="A366" s="265">
        <f t="shared" si="5"/>
        <v>41.466666666666669</v>
      </c>
      <c r="B366" s="265">
        <f>YEAR(Data_NFI_t[[#This Row],[Distribution Date]])</f>
        <v>2012</v>
      </c>
      <c r="C366" s="738">
        <v>41095</v>
      </c>
      <c r="D366" s="655" t="s">
        <v>288</v>
      </c>
      <c r="E366" s="654"/>
      <c r="F366" s="655" t="s">
        <v>7</v>
      </c>
      <c r="G366" s="31" t="s">
        <v>19</v>
      </c>
      <c r="H366" s="31" t="s">
        <v>95</v>
      </c>
      <c r="I366" s="31"/>
      <c r="J366" s="61"/>
      <c r="K366" s="61"/>
      <c r="L366" s="61"/>
      <c r="M366" s="61">
        <v>36</v>
      </c>
      <c r="N366" s="61"/>
      <c r="O366" s="61"/>
      <c r="P366" s="61"/>
      <c r="Q366" s="61"/>
      <c r="R366" s="708"/>
      <c r="S366" s="61"/>
      <c r="T366" s="150">
        <f>IF(NFI_Expiration=1,IF($A366&lt;VLOOKUP(I$5,NFI,5,0),1,0)*Data_NFI_t[[#This Row],[Hygiene Kit]],0)</f>
        <v>0</v>
      </c>
      <c r="U366" s="150">
        <f>IF(NFI_Expiration=1,IF($A366&lt;VLOOKUP(J$5,NFI,5,0),1,0)*Data_NFI_t[[#This Row],[NFI Core Kit]],0)</f>
        <v>0</v>
      </c>
      <c r="V366" s="131">
        <f>IF(NFI_Expiration=1,IF($A366&lt;VLOOKUP(K$5,NFI,5,0),1,0)*Data_NFI_t[[#This Row],[Sanitary Kit]],0)</f>
        <v>0</v>
      </c>
      <c r="W366" s="131">
        <f>IF(NFI_Expiration=1,IF($A366&lt;VLOOKUP(L$5,NFI,5,0),1,0)*Data_NFI_t[[#This Row],[Mosquito net]],0)</f>
        <v>0</v>
      </c>
      <c r="X366" s="131">
        <f>IF(NFI_Expiration=1,IF($A366&lt;VLOOKUP(M$5,NFI,5,0),1,0)*Data_NFI_t[[#This Row],[Tarpaulin]],0)</f>
        <v>0</v>
      </c>
      <c r="Y366" s="131">
        <f>IF(NFI_Expiration=1,IF($A366&lt;VLOOKUP(N$5,NFI,5,0),1,0)*Data_NFI_t[[#This Row],[Blanket]],0)</f>
        <v>0</v>
      </c>
      <c r="Z366" s="131">
        <f>IF(NFI_Expiration=1,IF($A366&lt;VLOOKUP(O$5,NFI,5,0),1,0)*Data_NFI_t[[#This Row],[Kitchen Set]],0)</f>
        <v>0</v>
      </c>
      <c r="AA366" s="131">
        <f>IF(NFI_Expiration=1,IF($A366&lt;VLOOKUP(P$5,NFI,5,0),1,0)*Data_NFI_t[[#This Row],[Complementary Kit]],0)</f>
        <v>0</v>
      </c>
      <c r="AB366" s="131">
        <f>IF(NFI_Expiration=1,IF($A366&lt;VLOOKUP(Q$5,NFI,5,0),1,0)*Data_NFI_t[[#This Row],[Plastic Bucket]],0)</f>
        <v>0</v>
      </c>
      <c r="AC366" s="131">
        <f>IF(NFI_Expiration=1,IF($A366&lt;VLOOKUP(R$5,NFI,5,0),1,0)*Data_NFI_t[[#This Row],[Jerry Can]],0)</f>
        <v>0</v>
      </c>
      <c r="AD366" s="150">
        <f>IF(NFI_Expiration=1,IF($A366&lt;VLOOKUP(S$5,NFI,5,0),1,0)*Data_NFI_t[[#This Row],[Plastic Mat]],0)*IF(Data_NFI_t[[#This Row],[Distribution Date]]&gt;"01-04-2014",1,2.5)</f>
        <v>0</v>
      </c>
      <c r="AE366" s="150" t="str">
        <f ca="1">IFERROR(OFFSET(Camp_List[P_Code],MATCH(Data_NFI_t[[#This Row],[Camp Name]],Camp_List[Camp Name],0)-1,0,1,1),"")</f>
        <v>MMR012CMP073</v>
      </c>
      <c r="AF366" s="714" t="str">
        <f ca="1">IFERROR(OFFSET(Camp_List[Status],MATCH(Data_NFI_t[[#This Row],[Camp Name]],Camp_List[Camp Name],0)-1,0,1,1),"")</f>
        <v>Close</v>
      </c>
    </row>
    <row r="367" spans="1:32" s="102" customFormat="1" ht="15" customHeight="1" x14ac:dyDescent="0.25">
      <c r="A367" s="265">
        <f t="shared" si="5"/>
        <v>41.466666666666669</v>
      </c>
      <c r="B367" s="265">
        <f>YEAR(Data_NFI_t[[#This Row],[Distribution Date]])</f>
        <v>2012</v>
      </c>
      <c r="C367" s="738">
        <v>41095</v>
      </c>
      <c r="D367" s="655" t="s">
        <v>288</v>
      </c>
      <c r="E367" s="654"/>
      <c r="F367" s="655" t="s">
        <v>7</v>
      </c>
      <c r="G367" s="31" t="s">
        <v>19</v>
      </c>
      <c r="H367" s="31" t="s">
        <v>83</v>
      </c>
      <c r="I367" s="31"/>
      <c r="J367" s="61"/>
      <c r="K367" s="61"/>
      <c r="L367" s="61"/>
      <c r="M367" s="61">
        <v>69</v>
      </c>
      <c r="N367" s="61"/>
      <c r="O367" s="61"/>
      <c r="P367" s="61"/>
      <c r="Q367" s="61"/>
      <c r="R367" s="708"/>
      <c r="S367" s="61"/>
      <c r="T367" s="150">
        <f>IF(NFI_Expiration=1,IF($A367&lt;VLOOKUP(I$5,NFI,5,0),1,0)*Data_NFI_t[[#This Row],[Hygiene Kit]],0)</f>
        <v>0</v>
      </c>
      <c r="U367" s="150">
        <f>IF(NFI_Expiration=1,IF($A367&lt;VLOOKUP(J$5,NFI,5,0),1,0)*Data_NFI_t[[#This Row],[NFI Core Kit]],0)</f>
        <v>0</v>
      </c>
      <c r="V367" s="131">
        <f>IF(NFI_Expiration=1,IF($A367&lt;VLOOKUP(K$5,NFI,5,0),1,0)*Data_NFI_t[[#This Row],[Sanitary Kit]],0)</f>
        <v>0</v>
      </c>
      <c r="W367" s="131">
        <f>IF(NFI_Expiration=1,IF($A367&lt;VLOOKUP(L$5,NFI,5,0),1,0)*Data_NFI_t[[#This Row],[Mosquito net]],0)</f>
        <v>0</v>
      </c>
      <c r="X367" s="131">
        <f>IF(NFI_Expiration=1,IF($A367&lt;VLOOKUP(M$5,NFI,5,0),1,0)*Data_NFI_t[[#This Row],[Tarpaulin]],0)</f>
        <v>0</v>
      </c>
      <c r="Y367" s="131">
        <f>IF(NFI_Expiration=1,IF($A367&lt;VLOOKUP(N$5,NFI,5,0),1,0)*Data_NFI_t[[#This Row],[Blanket]],0)</f>
        <v>0</v>
      </c>
      <c r="Z367" s="131">
        <f>IF(NFI_Expiration=1,IF($A367&lt;VLOOKUP(O$5,NFI,5,0),1,0)*Data_NFI_t[[#This Row],[Kitchen Set]],0)</f>
        <v>0</v>
      </c>
      <c r="AA367" s="131">
        <f>IF(NFI_Expiration=1,IF($A367&lt;VLOOKUP(P$5,NFI,5,0),1,0)*Data_NFI_t[[#This Row],[Complementary Kit]],0)</f>
        <v>0</v>
      </c>
      <c r="AB367" s="131">
        <f>IF(NFI_Expiration=1,IF($A367&lt;VLOOKUP(Q$5,NFI,5,0),1,0)*Data_NFI_t[[#This Row],[Plastic Bucket]],0)</f>
        <v>0</v>
      </c>
      <c r="AC367" s="131">
        <f>IF(NFI_Expiration=1,IF($A367&lt;VLOOKUP(R$5,NFI,5,0),1,0)*Data_NFI_t[[#This Row],[Jerry Can]],0)</f>
        <v>0</v>
      </c>
      <c r="AD367" s="150">
        <f>IF(NFI_Expiration=1,IF($A367&lt;VLOOKUP(S$5,NFI,5,0),1,0)*Data_NFI_t[[#This Row],[Plastic Mat]],0)*IF(Data_NFI_t[[#This Row],[Distribution Date]]&gt;"01-04-2014",1,2.5)</f>
        <v>0</v>
      </c>
      <c r="AE367" s="150" t="str">
        <f ca="1">IFERROR(OFFSET(Camp_List[P_Code],MATCH(Data_NFI_t[[#This Row],[Camp Name]],Camp_List[Camp Name],0)-1,0,1,1),"")</f>
        <v>MMR012CMP061</v>
      </c>
      <c r="AF367" s="714" t="str">
        <f ca="1">IFERROR(OFFSET(Camp_List[Status],MATCH(Data_NFI_t[[#This Row],[Camp Name]],Camp_List[Camp Name],0)-1,0,1,1),"")</f>
        <v>Close</v>
      </c>
    </row>
    <row r="368" spans="1:32" s="102" customFormat="1" ht="15" customHeight="1" x14ac:dyDescent="0.25">
      <c r="A368" s="265">
        <f t="shared" si="5"/>
        <v>41.466666666666669</v>
      </c>
      <c r="B368" s="265">
        <f>YEAR(Data_NFI_t[[#This Row],[Distribution Date]])</f>
        <v>2012</v>
      </c>
      <c r="C368" s="738">
        <v>41095</v>
      </c>
      <c r="D368" s="655" t="s">
        <v>288</v>
      </c>
      <c r="E368" s="654"/>
      <c r="F368" s="655" t="s">
        <v>7</v>
      </c>
      <c r="G368" s="31" t="s">
        <v>19</v>
      </c>
      <c r="H368" s="31" t="s">
        <v>64</v>
      </c>
      <c r="I368" s="31"/>
      <c r="J368" s="61"/>
      <c r="K368" s="61"/>
      <c r="L368" s="61"/>
      <c r="M368" s="61">
        <v>132</v>
      </c>
      <c r="N368" s="61"/>
      <c r="O368" s="61"/>
      <c r="P368" s="61"/>
      <c r="Q368" s="61"/>
      <c r="R368" s="708"/>
      <c r="S368" s="61"/>
      <c r="T368" s="150">
        <f>IF(NFI_Expiration=1,IF($A368&lt;VLOOKUP(I$5,NFI,5,0),1,0)*Data_NFI_t[[#This Row],[Hygiene Kit]],0)</f>
        <v>0</v>
      </c>
      <c r="U368" s="150">
        <f>IF(NFI_Expiration=1,IF($A368&lt;VLOOKUP(J$5,NFI,5,0),1,0)*Data_NFI_t[[#This Row],[NFI Core Kit]],0)</f>
        <v>0</v>
      </c>
      <c r="V368" s="131">
        <f>IF(NFI_Expiration=1,IF($A368&lt;VLOOKUP(K$5,NFI,5,0),1,0)*Data_NFI_t[[#This Row],[Sanitary Kit]],0)</f>
        <v>0</v>
      </c>
      <c r="W368" s="131">
        <f>IF(NFI_Expiration=1,IF($A368&lt;VLOOKUP(L$5,NFI,5,0),1,0)*Data_NFI_t[[#This Row],[Mosquito net]],0)</f>
        <v>0</v>
      </c>
      <c r="X368" s="131">
        <f>IF(NFI_Expiration=1,IF($A368&lt;VLOOKUP(M$5,NFI,5,0),1,0)*Data_NFI_t[[#This Row],[Tarpaulin]],0)</f>
        <v>0</v>
      </c>
      <c r="Y368" s="131">
        <f>IF(NFI_Expiration=1,IF($A368&lt;VLOOKUP(N$5,NFI,5,0),1,0)*Data_NFI_t[[#This Row],[Blanket]],0)</f>
        <v>0</v>
      </c>
      <c r="Z368" s="131">
        <f>IF(NFI_Expiration=1,IF($A368&lt;VLOOKUP(O$5,NFI,5,0),1,0)*Data_NFI_t[[#This Row],[Kitchen Set]],0)</f>
        <v>0</v>
      </c>
      <c r="AA368" s="131">
        <f>IF(NFI_Expiration=1,IF($A368&lt;VLOOKUP(P$5,NFI,5,0),1,0)*Data_NFI_t[[#This Row],[Complementary Kit]],0)</f>
        <v>0</v>
      </c>
      <c r="AB368" s="131">
        <f>IF(NFI_Expiration=1,IF($A368&lt;VLOOKUP(Q$5,NFI,5,0),1,0)*Data_NFI_t[[#This Row],[Plastic Bucket]],0)</f>
        <v>0</v>
      </c>
      <c r="AC368" s="131">
        <f>IF(NFI_Expiration=1,IF($A368&lt;VLOOKUP(R$5,NFI,5,0),1,0)*Data_NFI_t[[#This Row],[Jerry Can]],0)</f>
        <v>0</v>
      </c>
      <c r="AD368" s="150">
        <f>IF(NFI_Expiration=1,IF($A368&lt;VLOOKUP(S$5,NFI,5,0),1,0)*Data_NFI_t[[#This Row],[Plastic Mat]],0)*IF(Data_NFI_t[[#This Row],[Distribution Date]]&gt;"01-04-2014",1,2.5)</f>
        <v>0</v>
      </c>
      <c r="AE368" s="150" t="str">
        <f ca="1">IFERROR(OFFSET(Camp_List[P_Code],MATCH(Data_NFI_t[[#This Row],[Camp Name]],Camp_List[Camp Name],0)-1,0,1,1),"")</f>
        <v>MMR012CMP042</v>
      </c>
      <c r="AF368" s="714" t="str">
        <f ca="1">IFERROR(OFFSET(Camp_List[Status],MATCH(Data_NFI_t[[#This Row],[Camp Name]],Camp_List[Camp Name],0)-1,0,1,1),"")</f>
        <v>Open</v>
      </c>
    </row>
    <row r="369" spans="1:32" s="102" customFormat="1" ht="15" customHeight="1" x14ac:dyDescent="0.25">
      <c r="A369" s="265">
        <f t="shared" si="5"/>
        <v>41.466666666666669</v>
      </c>
      <c r="B369" s="265">
        <f>YEAR(Data_NFI_t[[#This Row],[Distribution Date]])</f>
        <v>2012</v>
      </c>
      <c r="C369" s="738">
        <v>41095</v>
      </c>
      <c r="D369" s="655" t="s">
        <v>288</v>
      </c>
      <c r="E369" s="654"/>
      <c r="F369" s="655" t="s">
        <v>7</v>
      </c>
      <c r="G369" s="31" t="s">
        <v>19</v>
      </c>
      <c r="H369" s="31" t="s">
        <v>88</v>
      </c>
      <c r="I369" s="31"/>
      <c r="J369" s="61"/>
      <c r="K369" s="61"/>
      <c r="L369" s="61"/>
      <c r="M369" s="61">
        <v>280</v>
      </c>
      <c r="N369" s="61"/>
      <c r="O369" s="61"/>
      <c r="P369" s="61"/>
      <c r="Q369" s="61"/>
      <c r="R369" s="708"/>
      <c r="S369" s="61"/>
      <c r="T369" s="150">
        <f>IF(NFI_Expiration=1,IF($A369&lt;VLOOKUP(I$5,NFI,5,0),1,0)*Data_NFI_t[[#This Row],[Hygiene Kit]],0)</f>
        <v>0</v>
      </c>
      <c r="U369" s="150">
        <f>IF(NFI_Expiration=1,IF($A369&lt;VLOOKUP(J$5,NFI,5,0),1,0)*Data_NFI_t[[#This Row],[NFI Core Kit]],0)</f>
        <v>0</v>
      </c>
      <c r="V369" s="131">
        <f>IF(NFI_Expiration=1,IF($A369&lt;VLOOKUP(K$5,NFI,5,0),1,0)*Data_NFI_t[[#This Row],[Sanitary Kit]],0)</f>
        <v>0</v>
      </c>
      <c r="W369" s="131">
        <f>IF(NFI_Expiration=1,IF($A369&lt;VLOOKUP(L$5,NFI,5,0),1,0)*Data_NFI_t[[#This Row],[Mosquito net]],0)</f>
        <v>0</v>
      </c>
      <c r="X369" s="131">
        <f>IF(NFI_Expiration=1,IF($A369&lt;VLOOKUP(M$5,NFI,5,0),1,0)*Data_NFI_t[[#This Row],[Tarpaulin]],0)</f>
        <v>0</v>
      </c>
      <c r="Y369" s="131">
        <f>IF(NFI_Expiration=1,IF($A369&lt;VLOOKUP(N$5,NFI,5,0),1,0)*Data_NFI_t[[#This Row],[Blanket]],0)</f>
        <v>0</v>
      </c>
      <c r="Z369" s="131">
        <f>IF(NFI_Expiration=1,IF($A369&lt;VLOOKUP(O$5,NFI,5,0),1,0)*Data_NFI_t[[#This Row],[Kitchen Set]],0)</f>
        <v>0</v>
      </c>
      <c r="AA369" s="131">
        <f>IF(NFI_Expiration=1,IF($A369&lt;VLOOKUP(P$5,NFI,5,0),1,0)*Data_NFI_t[[#This Row],[Complementary Kit]],0)</f>
        <v>0</v>
      </c>
      <c r="AB369" s="131">
        <f>IF(NFI_Expiration=1,IF($A369&lt;VLOOKUP(Q$5,NFI,5,0),1,0)*Data_NFI_t[[#This Row],[Plastic Bucket]],0)</f>
        <v>0</v>
      </c>
      <c r="AC369" s="131">
        <f>IF(NFI_Expiration=1,IF($A369&lt;VLOOKUP(R$5,NFI,5,0),1,0)*Data_NFI_t[[#This Row],[Jerry Can]],0)</f>
        <v>0</v>
      </c>
      <c r="AD369" s="150">
        <f>IF(NFI_Expiration=1,IF($A369&lt;VLOOKUP(S$5,NFI,5,0),1,0)*Data_NFI_t[[#This Row],[Plastic Mat]],0)*IF(Data_NFI_t[[#This Row],[Distribution Date]]&gt;"01-04-2014",1,2.5)</f>
        <v>0</v>
      </c>
      <c r="AE369" s="150" t="str">
        <f ca="1">IFERROR(OFFSET(Camp_List[P_Code],MATCH(Data_NFI_t[[#This Row],[Camp Name]],Camp_List[Camp Name],0)-1,0,1,1),"")</f>
        <v>MMR012CMP066</v>
      </c>
      <c r="AF369" s="714" t="str">
        <f ca="1">IFERROR(OFFSET(Camp_List[Status],MATCH(Data_NFI_t[[#This Row],[Camp Name]],Camp_List[Camp Name],0)-1,0,1,1),"")</f>
        <v>Close</v>
      </c>
    </row>
    <row r="370" spans="1:32" s="102" customFormat="1" ht="15" customHeight="1" x14ac:dyDescent="0.25">
      <c r="A370" s="265">
        <f t="shared" si="5"/>
        <v>41.633333333333333</v>
      </c>
      <c r="B370" s="265">
        <f>YEAR(Data_NFI_t[[#This Row],[Distribution Date]])</f>
        <v>2012</v>
      </c>
      <c r="C370" s="738">
        <v>41090</v>
      </c>
      <c r="D370" s="655" t="s">
        <v>288</v>
      </c>
      <c r="E370" s="654"/>
      <c r="F370" s="655" t="s">
        <v>7</v>
      </c>
      <c r="G370" s="31" t="s">
        <v>19</v>
      </c>
      <c r="H370" s="31" t="s">
        <v>77</v>
      </c>
      <c r="I370" s="31"/>
      <c r="J370" s="61"/>
      <c r="K370" s="61"/>
      <c r="L370" s="61"/>
      <c r="M370" s="61">
        <v>103</v>
      </c>
      <c r="N370" s="61"/>
      <c r="O370" s="61"/>
      <c r="P370" s="61"/>
      <c r="Q370" s="61"/>
      <c r="R370" s="708"/>
      <c r="S370" s="61"/>
      <c r="T370" s="150">
        <f>IF(NFI_Expiration=1,IF($A370&lt;VLOOKUP(I$5,NFI,5,0),1,0)*Data_NFI_t[[#This Row],[Hygiene Kit]],0)</f>
        <v>0</v>
      </c>
      <c r="U370" s="150">
        <f>IF(NFI_Expiration=1,IF($A370&lt;VLOOKUP(J$5,NFI,5,0),1,0)*Data_NFI_t[[#This Row],[NFI Core Kit]],0)</f>
        <v>0</v>
      </c>
      <c r="V370" s="131">
        <f>IF(NFI_Expiration=1,IF($A370&lt;VLOOKUP(K$5,NFI,5,0),1,0)*Data_NFI_t[[#This Row],[Sanitary Kit]],0)</f>
        <v>0</v>
      </c>
      <c r="W370" s="131">
        <f>IF(NFI_Expiration=1,IF($A370&lt;VLOOKUP(L$5,NFI,5,0),1,0)*Data_NFI_t[[#This Row],[Mosquito net]],0)</f>
        <v>0</v>
      </c>
      <c r="X370" s="131">
        <f>IF(NFI_Expiration=1,IF($A370&lt;VLOOKUP(M$5,NFI,5,0),1,0)*Data_NFI_t[[#This Row],[Tarpaulin]],0)</f>
        <v>0</v>
      </c>
      <c r="Y370" s="131">
        <f>IF(NFI_Expiration=1,IF($A370&lt;VLOOKUP(N$5,NFI,5,0),1,0)*Data_NFI_t[[#This Row],[Blanket]],0)</f>
        <v>0</v>
      </c>
      <c r="Z370" s="131">
        <f>IF(NFI_Expiration=1,IF($A370&lt;VLOOKUP(O$5,NFI,5,0),1,0)*Data_NFI_t[[#This Row],[Kitchen Set]],0)</f>
        <v>0</v>
      </c>
      <c r="AA370" s="131">
        <f>IF(NFI_Expiration=1,IF($A370&lt;VLOOKUP(P$5,NFI,5,0),1,0)*Data_NFI_t[[#This Row],[Complementary Kit]],0)</f>
        <v>0</v>
      </c>
      <c r="AB370" s="131">
        <f>IF(NFI_Expiration=1,IF($A370&lt;VLOOKUP(Q$5,NFI,5,0),1,0)*Data_NFI_t[[#This Row],[Plastic Bucket]],0)</f>
        <v>0</v>
      </c>
      <c r="AC370" s="131">
        <f>IF(NFI_Expiration=1,IF($A370&lt;VLOOKUP(R$5,NFI,5,0),1,0)*Data_NFI_t[[#This Row],[Jerry Can]],0)</f>
        <v>0</v>
      </c>
      <c r="AD370" s="150">
        <f>IF(NFI_Expiration=1,IF($A370&lt;VLOOKUP(S$5,NFI,5,0),1,0)*Data_NFI_t[[#This Row],[Plastic Mat]],0)*IF(Data_NFI_t[[#This Row],[Distribution Date]]&gt;"01-04-2014",1,2.5)</f>
        <v>0</v>
      </c>
      <c r="AE370" s="150" t="str">
        <f ca="1">IFERROR(OFFSET(Camp_List[P_Code],MATCH(Data_NFI_t[[#This Row],[Camp Name]],Camp_List[Camp Name],0)-1,0,1,1),"")</f>
        <v>MMR012CMP055</v>
      </c>
      <c r="AF370" s="714" t="str">
        <f ca="1">IFERROR(OFFSET(Camp_List[Status],MATCH(Data_NFI_t[[#This Row],[Camp Name]],Camp_List[Camp Name],0)-1,0,1,1),"")</f>
        <v>Close</v>
      </c>
    </row>
    <row r="371" spans="1:32" s="102" customFormat="1" ht="15" customHeight="1" x14ac:dyDescent="0.25">
      <c r="A371" s="265">
        <f t="shared" si="5"/>
        <v>41.633333333333333</v>
      </c>
      <c r="B371" s="265">
        <f>YEAR(Data_NFI_t[[#This Row],[Distribution Date]])</f>
        <v>2012</v>
      </c>
      <c r="C371" s="738">
        <v>41090</v>
      </c>
      <c r="D371" s="655" t="s">
        <v>288</v>
      </c>
      <c r="E371" s="654"/>
      <c r="F371" s="655" t="s">
        <v>7</v>
      </c>
      <c r="G371" s="31" t="s">
        <v>19</v>
      </c>
      <c r="H371" s="31" t="s">
        <v>256</v>
      </c>
      <c r="I371" s="31"/>
      <c r="J371" s="61"/>
      <c r="K371" s="61"/>
      <c r="L371" s="61"/>
      <c r="M371" s="61">
        <v>36</v>
      </c>
      <c r="N371" s="61"/>
      <c r="O371" s="61"/>
      <c r="P371" s="61"/>
      <c r="Q371" s="61"/>
      <c r="R371" s="708"/>
      <c r="S371" s="61"/>
      <c r="T371" s="150">
        <f>IF(NFI_Expiration=1,IF($A371&lt;VLOOKUP(I$5,NFI,5,0),1,0)*Data_NFI_t[[#This Row],[Hygiene Kit]],0)</f>
        <v>0</v>
      </c>
      <c r="U371" s="150">
        <f>IF(NFI_Expiration=1,IF($A371&lt;VLOOKUP(J$5,NFI,5,0),1,0)*Data_NFI_t[[#This Row],[NFI Core Kit]],0)</f>
        <v>0</v>
      </c>
      <c r="V371" s="131">
        <f>IF(NFI_Expiration=1,IF($A371&lt;VLOOKUP(K$5,NFI,5,0),1,0)*Data_NFI_t[[#This Row],[Sanitary Kit]],0)</f>
        <v>0</v>
      </c>
      <c r="W371" s="131">
        <f>IF(NFI_Expiration=1,IF($A371&lt;VLOOKUP(L$5,NFI,5,0),1,0)*Data_NFI_t[[#This Row],[Mosquito net]],0)</f>
        <v>0</v>
      </c>
      <c r="X371" s="131">
        <f>IF(NFI_Expiration=1,IF($A371&lt;VLOOKUP(M$5,NFI,5,0),1,0)*Data_NFI_t[[#This Row],[Tarpaulin]],0)</f>
        <v>0</v>
      </c>
      <c r="Y371" s="131">
        <f>IF(NFI_Expiration=1,IF($A371&lt;VLOOKUP(N$5,NFI,5,0),1,0)*Data_NFI_t[[#This Row],[Blanket]],0)</f>
        <v>0</v>
      </c>
      <c r="Z371" s="131">
        <f>IF(NFI_Expiration=1,IF($A371&lt;VLOOKUP(O$5,NFI,5,0),1,0)*Data_NFI_t[[#This Row],[Kitchen Set]],0)</f>
        <v>0</v>
      </c>
      <c r="AA371" s="131">
        <f>IF(NFI_Expiration=1,IF($A371&lt;VLOOKUP(P$5,NFI,5,0),1,0)*Data_NFI_t[[#This Row],[Complementary Kit]],0)</f>
        <v>0</v>
      </c>
      <c r="AB371" s="131">
        <f>IF(NFI_Expiration=1,IF($A371&lt;VLOOKUP(Q$5,NFI,5,0),1,0)*Data_NFI_t[[#This Row],[Plastic Bucket]],0)</f>
        <v>0</v>
      </c>
      <c r="AC371" s="131">
        <f>IF(NFI_Expiration=1,IF($A371&lt;VLOOKUP(R$5,NFI,5,0),1,0)*Data_NFI_t[[#This Row],[Jerry Can]],0)</f>
        <v>0</v>
      </c>
      <c r="AD371" s="150">
        <f>IF(NFI_Expiration=1,IF($A371&lt;VLOOKUP(S$5,NFI,5,0),1,0)*Data_NFI_t[[#This Row],[Plastic Mat]],0)*IF(Data_NFI_t[[#This Row],[Distribution Date]]&gt;"01-04-2014",1,2.5)</f>
        <v>0</v>
      </c>
      <c r="AE371" s="150" t="str">
        <f ca="1">IFERROR(OFFSET(Camp_List[P_Code],MATCH(Data_NFI_t[[#This Row],[Camp Name]],Camp_List[Camp Name],0)-1,0,1,1),"")</f>
        <v/>
      </c>
      <c r="AF371" s="714" t="str">
        <f ca="1">IFERROR(OFFSET(Camp_List[Status],MATCH(Data_NFI_t[[#This Row],[Camp Name]],Camp_List[Camp Name],0)-1,0,1,1),"")</f>
        <v/>
      </c>
    </row>
    <row r="372" spans="1:32" s="102" customFormat="1" ht="15" customHeight="1" x14ac:dyDescent="0.25">
      <c r="A372" s="265">
        <f t="shared" si="5"/>
        <v>41.633333333333333</v>
      </c>
      <c r="B372" s="265">
        <f>YEAR(Data_NFI_t[[#This Row],[Distribution Date]])</f>
        <v>2012</v>
      </c>
      <c r="C372" s="738">
        <v>41090</v>
      </c>
      <c r="D372" s="655" t="s">
        <v>288</v>
      </c>
      <c r="E372" s="654"/>
      <c r="F372" s="655" t="s">
        <v>7</v>
      </c>
      <c r="G372" s="31" t="s">
        <v>19</v>
      </c>
      <c r="H372" s="31" t="s">
        <v>258</v>
      </c>
      <c r="I372" s="31"/>
      <c r="J372" s="61"/>
      <c r="K372" s="61"/>
      <c r="L372" s="61"/>
      <c r="M372" s="61">
        <v>36</v>
      </c>
      <c r="N372" s="61"/>
      <c r="O372" s="61"/>
      <c r="P372" s="61"/>
      <c r="Q372" s="61"/>
      <c r="R372" s="708"/>
      <c r="S372" s="61"/>
      <c r="T372" s="150">
        <f>IF(NFI_Expiration=1,IF($A372&lt;VLOOKUP(I$5,NFI,5,0),1,0)*Data_NFI_t[[#This Row],[Hygiene Kit]],0)</f>
        <v>0</v>
      </c>
      <c r="U372" s="150">
        <f>IF(NFI_Expiration=1,IF($A372&lt;VLOOKUP(J$5,NFI,5,0),1,0)*Data_NFI_t[[#This Row],[NFI Core Kit]],0)</f>
        <v>0</v>
      </c>
      <c r="V372" s="131">
        <f>IF(NFI_Expiration=1,IF($A372&lt;VLOOKUP(K$5,NFI,5,0),1,0)*Data_NFI_t[[#This Row],[Sanitary Kit]],0)</f>
        <v>0</v>
      </c>
      <c r="W372" s="131">
        <f>IF(NFI_Expiration=1,IF($A372&lt;VLOOKUP(L$5,NFI,5,0),1,0)*Data_NFI_t[[#This Row],[Mosquito net]],0)</f>
        <v>0</v>
      </c>
      <c r="X372" s="131">
        <f>IF(NFI_Expiration=1,IF($A372&lt;VLOOKUP(M$5,NFI,5,0),1,0)*Data_NFI_t[[#This Row],[Tarpaulin]],0)</f>
        <v>0</v>
      </c>
      <c r="Y372" s="131">
        <f>IF(NFI_Expiration=1,IF($A372&lt;VLOOKUP(N$5,NFI,5,0),1,0)*Data_NFI_t[[#This Row],[Blanket]],0)</f>
        <v>0</v>
      </c>
      <c r="Z372" s="131">
        <f>IF(NFI_Expiration=1,IF($A372&lt;VLOOKUP(O$5,NFI,5,0),1,0)*Data_NFI_t[[#This Row],[Kitchen Set]],0)</f>
        <v>0</v>
      </c>
      <c r="AA372" s="131">
        <f>IF(NFI_Expiration=1,IF($A372&lt;VLOOKUP(P$5,NFI,5,0),1,0)*Data_NFI_t[[#This Row],[Complementary Kit]],0)</f>
        <v>0</v>
      </c>
      <c r="AB372" s="131">
        <f>IF(NFI_Expiration=1,IF($A372&lt;VLOOKUP(Q$5,NFI,5,0),1,0)*Data_NFI_t[[#This Row],[Plastic Bucket]],0)</f>
        <v>0</v>
      </c>
      <c r="AC372" s="131">
        <f>IF(NFI_Expiration=1,IF($A372&lt;VLOOKUP(R$5,NFI,5,0),1,0)*Data_NFI_t[[#This Row],[Jerry Can]],0)</f>
        <v>0</v>
      </c>
      <c r="AD372" s="150">
        <f>IF(NFI_Expiration=1,IF($A372&lt;VLOOKUP(S$5,NFI,5,0),1,0)*Data_NFI_t[[#This Row],[Plastic Mat]],0)*IF(Data_NFI_t[[#This Row],[Distribution Date]]&gt;"01-04-2014",1,2.5)</f>
        <v>0</v>
      </c>
      <c r="AE372" s="150" t="str">
        <f ca="1">IFERROR(OFFSET(Camp_List[P_Code],MATCH(Data_NFI_t[[#This Row],[Camp Name]],Camp_List[Camp Name],0)-1,0,1,1),"")</f>
        <v/>
      </c>
      <c r="AF372" s="714" t="str">
        <f ca="1">IFERROR(OFFSET(Camp_List[Status],MATCH(Data_NFI_t[[#This Row],[Camp Name]],Camp_List[Camp Name],0)-1,0,1,1),"")</f>
        <v/>
      </c>
    </row>
    <row r="373" spans="1:32" s="102" customFormat="1" ht="15" customHeight="1" x14ac:dyDescent="0.25">
      <c r="A373" s="265">
        <f t="shared" si="5"/>
        <v>41.633333333333333</v>
      </c>
      <c r="B373" s="265">
        <f>YEAR(Data_NFI_t[[#This Row],[Distribution Date]])</f>
        <v>2012</v>
      </c>
      <c r="C373" s="738">
        <v>41090</v>
      </c>
      <c r="D373" s="655" t="s">
        <v>288</v>
      </c>
      <c r="E373" s="654"/>
      <c r="F373" s="655" t="s">
        <v>7</v>
      </c>
      <c r="G373" s="31" t="s">
        <v>19</v>
      </c>
      <c r="H373" s="31" t="s">
        <v>86</v>
      </c>
      <c r="I373" s="31"/>
      <c r="J373" s="61"/>
      <c r="K373" s="61"/>
      <c r="L373" s="61"/>
      <c r="M373" s="61">
        <v>9</v>
      </c>
      <c r="N373" s="61"/>
      <c r="O373" s="61"/>
      <c r="P373" s="61"/>
      <c r="Q373" s="61"/>
      <c r="R373" s="708"/>
      <c r="S373" s="61"/>
      <c r="T373" s="150">
        <f>IF(NFI_Expiration=1,IF($A373&lt;VLOOKUP(I$5,NFI,5,0),1,0)*Data_NFI_t[[#This Row],[Hygiene Kit]],0)</f>
        <v>0</v>
      </c>
      <c r="U373" s="150">
        <f>IF(NFI_Expiration=1,IF($A373&lt;VLOOKUP(J$5,NFI,5,0),1,0)*Data_NFI_t[[#This Row],[NFI Core Kit]],0)</f>
        <v>0</v>
      </c>
      <c r="V373" s="131">
        <f>IF(NFI_Expiration=1,IF($A373&lt;VLOOKUP(K$5,NFI,5,0),1,0)*Data_NFI_t[[#This Row],[Sanitary Kit]],0)</f>
        <v>0</v>
      </c>
      <c r="W373" s="131">
        <f>IF(NFI_Expiration=1,IF($A373&lt;VLOOKUP(L$5,NFI,5,0),1,0)*Data_NFI_t[[#This Row],[Mosquito net]],0)</f>
        <v>0</v>
      </c>
      <c r="X373" s="131">
        <f>IF(NFI_Expiration=1,IF($A373&lt;VLOOKUP(M$5,NFI,5,0),1,0)*Data_NFI_t[[#This Row],[Tarpaulin]],0)</f>
        <v>0</v>
      </c>
      <c r="Y373" s="131">
        <f>IF(NFI_Expiration=1,IF($A373&lt;VLOOKUP(N$5,NFI,5,0),1,0)*Data_NFI_t[[#This Row],[Blanket]],0)</f>
        <v>0</v>
      </c>
      <c r="Z373" s="131">
        <f>IF(NFI_Expiration=1,IF($A373&lt;VLOOKUP(O$5,NFI,5,0),1,0)*Data_NFI_t[[#This Row],[Kitchen Set]],0)</f>
        <v>0</v>
      </c>
      <c r="AA373" s="131">
        <f>IF(NFI_Expiration=1,IF($A373&lt;VLOOKUP(P$5,NFI,5,0),1,0)*Data_NFI_t[[#This Row],[Complementary Kit]],0)</f>
        <v>0</v>
      </c>
      <c r="AB373" s="131">
        <f>IF(NFI_Expiration=1,IF($A373&lt;VLOOKUP(Q$5,NFI,5,0),1,0)*Data_NFI_t[[#This Row],[Plastic Bucket]],0)</f>
        <v>0</v>
      </c>
      <c r="AC373" s="131">
        <f>IF(NFI_Expiration=1,IF($A373&lt;VLOOKUP(R$5,NFI,5,0),1,0)*Data_NFI_t[[#This Row],[Jerry Can]],0)</f>
        <v>0</v>
      </c>
      <c r="AD373" s="150">
        <f>IF(NFI_Expiration=1,IF($A373&lt;VLOOKUP(S$5,NFI,5,0),1,0)*Data_NFI_t[[#This Row],[Plastic Mat]],0)*IF(Data_NFI_t[[#This Row],[Distribution Date]]&gt;"01-04-2014",1,2.5)</f>
        <v>0</v>
      </c>
      <c r="AE373" s="150" t="str">
        <f ca="1">IFERROR(OFFSET(Camp_List[P_Code],MATCH(Data_NFI_t[[#This Row],[Camp Name]],Camp_List[Camp Name],0)-1,0,1,1),"")</f>
        <v>MMR012CMP064</v>
      </c>
      <c r="AF373" s="714" t="str">
        <f ca="1">IFERROR(OFFSET(Camp_List[Status],MATCH(Data_NFI_t[[#This Row],[Camp Name]],Camp_List[Camp Name],0)-1,0,1,1),"")</f>
        <v>Close</v>
      </c>
    </row>
    <row r="374" spans="1:32" s="102" customFormat="1" ht="15" customHeight="1" x14ac:dyDescent="0.25">
      <c r="A374" s="265">
        <f t="shared" si="5"/>
        <v>41.633333333333333</v>
      </c>
      <c r="B374" s="265">
        <f>YEAR(Data_NFI_t[[#This Row],[Distribution Date]])</f>
        <v>2012</v>
      </c>
      <c r="C374" s="738">
        <v>41090</v>
      </c>
      <c r="D374" s="655" t="s">
        <v>288</v>
      </c>
      <c r="E374" s="654"/>
      <c r="F374" s="655" t="s">
        <v>7</v>
      </c>
      <c r="G374" s="31" t="s">
        <v>19</v>
      </c>
      <c r="H374" s="31" t="s">
        <v>257</v>
      </c>
      <c r="I374" s="31"/>
      <c r="J374" s="61"/>
      <c r="K374" s="61"/>
      <c r="L374" s="61"/>
      <c r="M374" s="61">
        <v>20</v>
      </c>
      <c r="N374" s="61"/>
      <c r="O374" s="61"/>
      <c r="P374" s="61"/>
      <c r="Q374" s="61"/>
      <c r="R374" s="708"/>
      <c r="S374" s="61"/>
      <c r="T374" s="150">
        <f>IF(NFI_Expiration=1,IF($A374&lt;VLOOKUP(I$5,NFI,5,0),1,0)*Data_NFI_t[[#This Row],[Hygiene Kit]],0)</f>
        <v>0</v>
      </c>
      <c r="U374" s="150">
        <f>IF(NFI_Expiration=1,IF($A374&lt;VLOOKUP(J$5,NFI,5,0),1,0)*Data_NFI_t[[#This Row],[NFI Core Kit]],0)</f>
        <v>0</v>
      </c>
      <c r="V374" s="131">
        <f>IF(NFI_Expiration=1,IF($A374&lt;VLOOKUP(K$5,NFI,5,0),1,0)*Data_NFI_t[[#This Row],[Sanitary Kit]],0)</f>
        <v>0</v>
      </c>
      <c r="W374" s="131">
        <f>IF(NFI_Expiration=1,IF($A374&lt;VLOOKUP(L$5,NFI,5,0),1,0)*Data_NFI_t[[#This Row],[Mosquito net]],0)</f>
        <v>0</v>
      </c>
      <c r="X374" s="131">
        <f>IF(NFI_Expiration=1,IF($A374&lt;VLOOKUP(M$5,NFI,5,0),1,0)*Data_NFI_t[[#This Row],[Tarpaulin]],0)</f>
        <v>0</v>
      </c>
      <c r="Y374" s="131">
        <f>IF(NFI_Expiration=1,IF($A374&lt;VLOOKUP(N$5,NFI,5,0),1,0)*Data_NFI_t[[#This Row],[Blanket]],0)</f>
        <v>0</v>
      </c>
      <c r="Z374" s="131">
        <f>IF(NFI_Expiration=1,IF($A374&lt;VLOOKUP(O$5,NFI,5,0),1,0)*Data_NFI_t[[#This Row],[Kitchen Set]],0)</f>
        <v>0</v>
      </c>
      <c r="AA374" s="131">
        <f>IF(NFI_Expiration=1,IF($A374&lt;VLOOKUP(P$5,NFI,5,0),1,0)*Data_NFI_t[[#This Row],[Complementary Kit]],0)</f>
        <v>0</v>
      </c>
      <c r="AB374" s="131">
        <f>IF(NFI_Expiration=1,IF($A374&lt;VLOOKUP(Q$5,NFI,5,0),1,0)*Data_NFI_t[[#This Row],[Plastic Bucket]],0)</f>
        <v>0</v>
      </c>
      <c r="AC374" s="131">
        <f>IF(NFI_Expiration=1,IF($A374&lt;VLOOKUP(R$5,NFI,5,0),1,0)*Data_NFI_t[[#This Row],[Jerry Can]],0)</f>
        <v>0</v>
      </c>
      <c r="AD374" s="150">
        <f>IF(NFI_Expiration=1,IF($A374&lt;VLOOKUP(S$5,NFI,5,0),1,0)*Data_NFI_t[[#This Row],[Plastic Mat]],0)*IF(Data_NFI_t[[#This Row],[Distribution Date]]&gt;"01-04-2014",1,2.5)</f>
        <v>0</v>
      </c>
      <c r="AE374" s="150" t="str">
        <f ca="1">IFERROR(OFFSET(Camp_List[P_Code],MATCH(Data_NFI_t[[#This Row],[Camp Name]],Camp_List[Camp Name],0)-1,0,1,1),"")</f>
        <v/>
      </c>
      <c r="AF374" s="714" t="str">
        <f ca="1">IFERROR(OFFSET(Camp_List[Status],MATCH(Data_NFI_t[[#This Row],[Camp Name]],Camp_List[Camp Name],0)-1,0,1,1),"")</f>
        <v/>
      </c>
    </row>
    <row r="375" spans="1:32" s="102" customFormat="1" ht="15" customHeight="1" x14ac:dyDescent="0.25">
      <c r="A375" s="265">
        <f t="shared" si="5"/>
        <v>41.633333333333333</v>
      </c>
      <c r="B375" s="265">
        <f>YEAR(Data_NFI_t[[#This Row],[Distribution Date]])</f>
        <v>2012</v>
      </c>
      <c r="C375" s="738">
        <v>41090</v>
      </c>
      <c r="D375" s="655" t="s">
        <v>288</v>
      </c>
      <c r="E375" s="654"/>
      <c r="F375" s="655" t="s">
        <v>7</v>
      </c>
      <c r="G375" s="31" t="s">
        <v>19</v>
      </c>
      <c r="H375" s="31" t="s">
        <v>255</v>
      </c>
      <c r="I375" s="31"/>
      <c r="J375" s="61"/>
      <c r="K375" s="61"/>
      <c r="L375" s="61"/>
      <c r="M375" s="61">
        <v>35</v>
      </c>
      <c r="N375" s="61"/>
      <c r="O375" s="61"/>
      <c r="P375" s="61"/>
      <c r="Q375" s="61"/>
      <c r="R375" s="708"/>
      <c r="S375" s="61"/>
      <c r="T375" s="150">
        <f>IF(NFI_Expiration=1,IF($A375&lt;VLOOKUP(I$5,NFI,5,0),1,0)*Data_NFI_t[[#This Row],[Hygiene Kit]],0)</f>
        <v>0</v>
      </c>
      <c r="U375" s="150">
        <f>IF(NFI_Expiration=1,IF($A375&lt;VLOOKUP(J$5,NFI,5,0),1,0)*Data_NFI_t[[#This Row],[NFI Core Kit]],0)</f>
        <v>0</v>
      </c>
      <c r="V375" s="131">
        <f>IF(NFI_Expiration=1,IF($A375&lt;VLOOKUP(K$5,NFI,5,0),1,0)*Data_NFI_t[[#This Row],[Sanitary Kit]],0)</f>
        <v>0</v>
      </c>
      <c r="W375" s="131">
        <f>IF(NFI_Expiration=1,IF($A375&lt;VLOOKUP(L$5,NFI,5,0),1,0)*Data_NFI_t[[#This Row],[Mosquito net]],0)</f>
        <v>0</v>
      </c>
      <c r="X375" s="131">
        <f>IF(NFI_Expiration=1,IF($A375&lt;VLOOKUP(M$5,NFI,5,0),1,0)*Data_NFI_t[[#This Row],[Tarpaulin]],0)</f>
        <v>0</v>
      </c>
      <c r="Y375" s="131">
        <f>IF(NFI_Expiration=1,IF($A375&lt;VLOOKUP(N$5,NFI,5,0),1,0)*Data_NFI_t[[#This Row],[Blanket]],0)</f>
        <v>0</v>
      </c>
      <c r="Z375" s="131">
        <f>IF(NFI_Expiration=1,IF($A375&lt;VLOOKUP(O$5,NFI,5,0),1,0)*Data_NFI_t[[#This Row],[Kitchen Set]],0)</f>
        <v>0</v>
      </c>
      <c r="AA375" s="131">
        <f>IF(NFI_Expiration=1,IF($A375&lt;VLOOKUP(P$5,NFI,5,0),1,0)*Data_NFI_t[[#This Row],[Complementary Kit]],0)</f>
        <v>0</v>
      </c>
      <c r="AB375" s="131">
        <f>IF(NFI_Expiration=1,IF($A375&lt;VLOOKUP(Q$5,NFI,5,0),1,0)*Data_NFI_t[[#This Row],[Plastic Bucket]],0)</f>
        <v>0</v>
      </c>
      <c r="AC375" s="131">
        <f>IF(NFI_Expiration=1,IF($A375&lt;VLOOKUP(R$5,NFI,5,0),1,0)*Data_NFI_t[[#This Row],[Jerry Can]],0)</f>
        <v>0</v>
      </c>
      <c r="AD375" s="150">
        <f>IF(NFI_Expiration=1,IF($A375&lt;VLOOKUP(S$5,NFI,5,0),1,0)*Data_NFI_t[[#This Row],[Plastic Mat]],0)*IF(Data_NFI_t[[#This Row],[Distribution Date]]&gt;"01-04-2014",1,2.5)</f>
        <v>0</v>
      </c>
      <c r="AE375" s="150" t="str">
        <f ca="1">IFERROR(OFFSET(Camp_List[P_Code],MATCH(Data_NFI_t[[#This Row],[Camp Name]],Camp_List[Camp Name],0)-1,0,1,1),"")</f>
        <v/>
      </c>
      <c r="AF375" s="714" t="str">
        <f ca="1">IFERROR(OFFSET(Camp_List[Status],MATCH(Data_NFI_t[[#This Row],[Camp Name]],Camp_List[Camp Name],0)-1,0,1,1),"")</f>
        <v/>
      </c>
    </row>
    <row r="376" spans="1:32" s="102" customFormat="1" ht="15" customHeight="1" x14ac:dyDescent="0.25">
      <c r="A376" s="265">
        <f t="shared" si="5"/>
        <v>41.666666666666664</v>
      </c>
      <c r="B376" s="265">
        <f>YEAR(Data_NFI_t[[#This Row],[Distribution Date]])</f>
        <v>2012</v>
      </c>
      <c r="C376" s="738">
        <v>41089</v>
      </c>
      <c r="D376" s="655" t="s">
        <v>288</v>
      </c>
      <c r="E376" s="654"/>
      <c r="F376" s="655" t="s">
        <v>7</v>
      </c>
      <c r="G376" s="31" t="s">
        <v>19</v>
      </c>
      <c r="H376" s="31" t="s">
        <v>81</v>
      </c>
      <c r="I376" s="31"/>
      <c r="J376" s="61"/>
      <c r="K376" s="61"/>
      <c r="L376" s="61"/>
      <c r="M376" s="61">
        <v>66</v>
      </c>
      <c r="N376" s="61"/>
      <c r="O376" s="61"/>
      <c r="P376" s="61"/>
      <c r="Q376" s="61"/>
      <c r="R376" s="708"/>
      <c r="S376" s="61"/>
      <c r="T376" s="150">
        <f>IF(NFI_Expiration=1,IF($A376&lt;VLOOKUP(I$5,NFI,5,0),1,0)*Data_NFI_t[[#This Row],[Hygiene Kit]],0)</f>
        <v>0</v>
      </c>
      <c r="U376" s="150">
        <f>IF(NFI_Expiration=1,IF($A376&lt;VLOOKUP(J$5,NFI,5,0),1,0)*Data_NFI_t[[#This Row],[NFI Core Kit]],0)</f>
        <v>0</v>
      </c>
      <c r="V376" s="131">
        <f>IF(NFI_Expiration=1,IF($A376&lt;VLOOKUP(K$5,NFI,5,0),1,0)*Data_NFI_t[[#This Row],[Sanitary Kit]],0)</f>
        <v>0</v>
      </c>
      <c r="W376" s="131">
        <f>IF(NFI_Expiration=1,IF($A376&lt;VLOOKUP(L$5,NFI,5,0),1,0)*Data_NFI_t[[#This Row],[Mosquito net]],0)</f>
        <v>0</v>
      </c>
      <c r="X376" s="131">
        <f>IF(NFI_Expiration=1,IF($A376&lt;VLOOKUP(M$5,NFI,5,0),1,0)*Data_NFI_t[[#This Row],[Tarpaulin]],0)</f>
        <v>0</v>
      </c>
      <c r="Y376" s="131">
        <f>IF(NFI_Expiration=1,IF($A376&lt;VLOOKUP(N$5,NFI,5,0),1,0)*Data_NFI_t[[#This Row],[Blanket]],0)</f>
        <v>0</v>
      </c>
      <c r="Z376" s="131">
        <f>IF(NFI_Expiration=1,IF($A376&lt;VLOOKUP(O$5,NFI,5,0),1,0)*Data_NFI_t[[#This Row],[Kitchen Set]],0)</f>
        <v>0</v>
      </c>
      <c r="AA376" s="131">
        <f>IF(NFI_Expiration=1,IF($A376&lt;VLOOKUP(P$5,NFI,5,0),1,0)*Data_NFI_t[[#This Row],[Complementary Kit]],0)</f>
        <v>0</v>
      </c>
      <c r="AB376" s="131">
        <f>IF(NFI_Expiration=1,IF($A376&lt;VLOOKUP(Q$5,NFI,5,0),1,0)*Data_NFI_t[[#This Row],[Plastic Bucket]],0)</f>
        <v>0</v>
      </c>
      <c r="AC376" s="131">
        <f>IF(NFI_Expiration=1,IF($A376&lt;VLOOKUP(R$5,NFI,5,0),1,0)*Data_NFI_t[[#This Row],[Jerry Can]],0)</f>
        <v>0</v>
      </c>
      <c r="AD376" s="150">
        <f>IF(NFI_Expiration=1,IF($A376&lt;VLOOKUP(S$5,NFI,5,0),1,0)*Data_NFI_t[[#This Row],[Plastic Mat]],0)*IF(Data_NFI_t[[#This Row],[Distribution Date]]&gt;"01-04-2014",1,2.5)</f>
        <v>0</v>
      </c>
      <c r="AE376" s="150" t="str">
        <f ca="1">IFERROR(OFFSET(Camp_List[P_Code],MATCH(Data_NFI_t[[#This Row],[Camp Name]],Camp_List[Camp Name],0)-1,0,1,1),"")</f>
        <v>MMR012CMP059</v>
      </c>
      <c r="AF376" s="714" t="str">
        <f ca="1">IFERROR(OFFSET(Camp_List[Status],MATCH(Data_NFI_t[[#This Row],[Camp Name]],Camp_List[Camp Name],0)-1,0,1,1),"")</f>
        <v>Close</v>
      </c>
    </row>
    <row r="377" spans="1:32" s="102" customFormat="1" ht="15" customHeight="1" x14ac:dyDescent="0.25">
      <c r="A377" s="265">
        <f t="shared" si="5"/>
        <v>41.666666666666664</v>
      </c>
      <c r="B377" s="265">
        <f>YEAR(Data_NFI_t[[#This Row],[Distribution Date]])</f>
        <v>2012</v>
      </c>
      <c r="C377" s="738">
        <v>41089</v>
      </c>
      <c r="D377" s="655" t="s">
        <v>288</v>
      </c>
      <c r="E377" s="654"/>
      <c r="F377" s="655" t="s">
        <v>7</v>
      </c>
      <c r="G377" s="31" t="s">
        <v>19</v>
      </c>
      <c r="H377" s="31" t="s">
        <v>254</v>
      </c>
      <c r="I377" s="31"/>
      <c r="J377" s="61"/>
      <c r="K377" s="61"/>
      <c r="L377" s="61"/>
      <c r="M377" s="61">
        <v>37</v>
      </c>
      <c r="N377" s="61"/>
      <c r="O377" s="61"/>
      <c r="P377" s="61"/>
      <c r="Q377" s="61"/>
      <c r="R377" s="708"/>
      <c r="S377" s="61"/>
      <c r="T377" s="150">
        <f>IF(NFI_Expiration=1,IF($A377&lt;VLOOKUP(I$5,NFI,5,0),1,0)*Data_NFI_t[[#This Row],[Hygiene Kit]],0)</f>
        <v>0</v>
      </c>
      <c r="U377" s="150">
        <f>IF(NFI_Expiration=1,IF($A377&lt;VLOOKUP(J$5,NFI,5,0),1,0)*Data_NFI_t[[#This Row],[NFI Core Kit]],0)</f>
        <v>0</v>
      </c>
      <c r="V377" s="131">
        <f>IF(NFI_Expiration=1,IF($A377&lt;VLOOKUP(K$5,NFI,5,0),1,0)*Data_NFI_t[[#This Row],[Sanitary Kit]],0)</f>
        <v>0</v>
      </c>
      <c r="W377" s="131">
        <f>IF(NFI_Expiration=1,IF($A377&lt;VLOOKUP(L$5,NFI,5,0),1,0)*Data_NFI_t[[#This Row],[Mosquito net]],0)</f>
        <v>0</v>
      </c>
      <c r="X377" s="131">
        <f>IF(NFI_Expiration=1,IF($A377&lt;VLOOKUP(M$5,NFI,5,0),1,0)*Data_NFI_t[[#This Row],[Tarpaulin]],0)</f>
        <v>0</v>
      </c>
      <c r="Y377" s="131">
        <f>IF(NFI_Expiration=1,IF($A377&lt;VLOOKUP(N$5,NFI,5,0),1,0)*Data_NFI_t[[#This Row],[Blanket]],0)</f>
        <v>0</v>
      </c>
      <c r="Z377" s="131">
        <f>IF(NFI_Expiration=1,IF($A377&lt;VLOOKUP(O$5,NFI,5,0),1,0)*Data_NFI_t[[#This Row],[Kitchen Set]],0)</f>
        <v>0</v>
      </c>
      <c r="AA377" s="131">
        <f>IF(NFI_Expiration=1,IF($A377&lt;VLOOKUP(P$5,NFI,5,0),1,0)*Data_NFI_t[[#This Row],[Complementary Kit]],0)</f>
        <v>0</v>
      </c>
      <c r="AB377" s="131">
        <f>IF(NFI_Expiration=1,IF($A377&lt;VLOOKUP(Q$5,NFI,5,0),1,0)*Data_NFI_t[[#This Row],[Plastic Bucket]],0)</f>
        <v>0</v>
      </c>
      <c r="AC377" s="131">
        <f>IF(NFI_Expiration=1,IF($A377&lt;VLOOKUP(R$5,NFI,5,0),1,0)*Data_NFI_t[[#This Row],[Jerry Can]],0)</f>
        <v>0</v>
      </c>
      <c r="AD377" s="150">
        <f>IF(NFI_Expiration=1,IF($A377&lt;VLOOKUP(S$5,NFI,5,0),1,0)*Data_NFI_t[[#This Row],[Plastic Mat]],0)*IF(Data_NFI_t[[#This Row],[Distribution Date]]&gt;"01-04-2014",1,2.5)</f>
        <v>0</v>
      </c>
      <c r="AE377" s="150" t="str">
        <f ca="1">IFERROR(OFFSET(Camp_List[P_Code],MATCH(Data_NFI_t[[#This Row],[Camp Name]],Camp_List[Camp Name],0)-1,0,1,1),"")</f>
        <v/>
      </c>
      <c r="AF377" s="714" t="str">
        <f ca="1">IFERROR(OFFSET(Camp_List[Status],MATCH(Data_NFI_t[[#This Row],[Camp Name]],Camp_List[Camp Name],0)-1,0,1,1),"")</f>
        <v/>
      </c>
    </row>
    <row r="378" spans="1:32" s="102" customFormat="1" ht="15" customHeight="1" x14ac:dyDescent="0.25">
      <c r="A378" s="265">
        <f t="shared" si="5"/>
        <v>41.666666666666664</v>
      </c>
      <c r="B378" s="265">
        <f>YEAR(Data_NFI_t[[#This Row],[Distribution Date]])</f>
        <v>2012</v>
      </c>
      <c r="C378" s="738">
        <v>41089</v>
      </c>
      <c r="D378" s="655" t="s">
        <v>288</v>
      </c>
      <c r="E378" s="654"/>
      <c r="F378" s="655" t="s">
        <v>7</v>
      </c>
      <c r="G378" s="31" t="s">
        <v>19</v>
      </c>
      <c r="H378" s="31" t="s">
        <v>85</v>
      </c>
      <c r="I378" s="31"/>
      <c r="J378" s="61"/>
      <c r="K378" s="61"/>
      <c r="L378" s="61"/>
      <c r="M378" s="61">
        <v>66</v>
      </c>
      <c r="N378" s="61"/>
      <c r="O378" s="61"/>
      <c r="P378" s="61"/>
      <c r="Q378" s="61"/>
      <c r="R378" s="708"/>
      <c r="S378" s="61"/>
      <c r="T378" s="150">
        <f>IF(NFI_Expiration=1,IF($A378&lt;VLOOKUP(I$5,NFI,5,0),1,0)*Data_NFI_t[[#This Row],[Hygiene Kit]],0)</f>
        <v>0</v>
      </c>
      <c r="U378" s="150">
        <f>IF(NFI_Expiration=1,IF($A378&lt;VLOOKUP(J$5,NFI,5,0),1,0)*Data_NFI_t[[#This Row],[NFI Core Kit]],0)</f>
        <v>0</v>
      </c>
      <c r="V378" s="131">
        <f>IF(NFI_Expiration=1,IF($A378&lt;VLOOKUP(K$5,NFI,5,0),1,0)*Data_NFI_t[[#This Row],[Sanitary Kit]],0)</f>
        <v>0</v>
      </c>
      <c r="W378" s="131">
        <f>IF(NFI_Expiration=1,IF($A378&lt;VLOOKUP(L$5,NFI,5,0),1,0)*Data_NFI_t[[#This Row],[Mosquito net]],0)</f>
        <v>0</v>
      </c>
      <c r="X378" s="131">
        <f>IF(NFI_Expiration=1,IF($A378&lt;VLOOKUP(M$5,NFI,5,0),1,0)*Data_NFI_t[[#This Row],[Tarpaulin]],0)</f>
        <v>0</v>
      </c>
      <c r="Y378" s="131">
        <f>IF(NFI_Expiration=1,IF($A378&lt;VLOOKUP(N$5,NFI,5,0),1,0)*Data_NFI_t[[#This Row],[Blanket]],0)</f>
        <v>0</v>
      </c>
      <c r="Z378" s="131">
        <f>IF(NFI_Expiration=1,IF($A378&lt;VLOOKUP(O$5,NFI,5,0),1,0)*Data_NFI_t[[#This Row],[Kitchen Set]],0)</f>
        <v>0</v>
      </c>
      <c r="AA378" s="131">
        <f>IF(NFI_Expiration=1,IF($A378&lt;VLOOKUP(P$5,NFI,5,0),1,0)*Data_NFI_t[[#This Row],[Complementary Kit]],0)</f>
        <v>0</v>
      </c>
      <c r="AB378" s="131">
        <f>IF(NFI_Expiration=1,IF($A378&lt;VLOOKUP(Q$5,NFI,5,0),1,0)*Data_NFI_t[[#This Row],[Plastic Bucket]],0)</f>
        <v>0</v>
      </c>
      <c r="AC378" s="131">
        <f>IF(NFI_Expiration=1,IF($A378&lt;VLOOKUP(R$5,NFI,5,0),1,0)*Data_NFI_t[[#This Row],[Jerry Can]],0)</f>
        <v>0</v>
      </c>
      <c r="AD378" s="150">
        <f>IF(NFI_Expiration=1,IF($A378&lt;VLOOKUP(S$5,NFI,5,0),1,0)*Data_NFI_t[[#This Row],[Plastic Mat]],0)*IF(Data_NFI_t[[#This Row],[Distribution Date]]&gt;"01-04-2014",1,2.5)</f>
        <v>0</v>
      </c>
      <c r="AE378" s="150" t="str">
        <f ca="1">IFERROR(OFFSET(Camp_List[P_Code],MATCH(Data_NFI_t[[#This Row],[Camp Name]],Camp_List[Camp Name],0)-1,0,1,1),"")</f>
        <v>MMR012CMP063</v>
      </c>
      <c r="AF378" s="714" t="str">
        <f ca="1">IFERROR(OFFSET(Camp_List[Status],MATCH(Data_NFI_t[[#This Row],[Camp Name]],Camp_List[Camp Name],0)-1,0,1,1),"")</f>
        <v>Close</v>
      </c>
    </row>
    <row r="379" spans="1:32" s="102" customFormat="1" ht="15" customHeight="1" x14ac:dyDescent="0.25">
      <c r="A379" s="265">
        <f t="shared" si="5"/>
        <v>41.666666666666664</v>
      </c>
      <c r="B379" s="265">
        <f>YEAR(Data_NFI_t[[#This Row],[Distribution Date]])</f>
        <v>2012</v>
      </c>
      <c r="C379" s="738">
        <v>41089</v>
      </c>
      <c r="D379" s="655" t="s">
        <v>288</v>
      </c>
      <c r="E379" s="654"/>
      <c r="F379" s="655" t="s">
        <v>7</v>
      </c>
      <c r="G379" s="31" t="s">
        <v>19</v>
      </c>
      <c r="H379" s="31" t="s">
        <v>90</v>
      </c>
      <c r="I379" s="31"/>
      <c r="J379" s="61"/>
      <c r="K379" s="61"/>
      <c r="L379" s="61"/>
      <c r="M379" s="61">
        <v>62</v>
      </c>
      <c r="N379" s="61"/>
      <c r="O379" s="61"/>
      <c r="P379" s="61"/>
      <c r="Q379" s="61"/>
      <c r="R379" s="708"/>
      <c r="S379" s="61"/>
      <c r="T379" s="150">
        <f>IF(NFI_Expiration=1,IF($A379&lt;VLOOKUP(I$5,NFI,5,0),1,0)*Data_NFI_t[[#This Row],[Hygiene Kit]],0)</f>
        <v>0</v>
      </c>
      <c r="U379" s="150">
        <f>IF(NFI_Expiration=1,IF($A379&lt;VLOOKUP(J$5,NFI,5,0),1,0)*Data_NFI_t[[#This Row],[NFI Core Kit]],0)</f>
        <v>0</v>
      </c>
      <c r="V379" s="131">
        <f>IF(NFI_Expiration=1,IF($A379&lt;VLOOKUP(K$5,NFI,5,0),1,0)*Data_NFI_t[[#This Row],[Sanitary Kit]],0)</f>
        <v>0</v>
      </c>
      <c r="W379" s="131">
        <f>IF(NFI_Expiration=1,IF($A379&lt;VLOOKUP(L$5,NFI,5,0),1,0)*Data_NFI_t[[#This Row],[Mosquito net]],0)</f>
        <v>0</v>
      </c>
      <c r="X379" s="131">
        <f>IF(NFI_Expiration=1,IF($A379&lt;VLOOKUP(M$5,NFI,5,0),1,0)*Data_NFI_t[[#This Row],[Tarpaulin]],0)</f>
        <v>0</v>
      </c>
      <c r="Y379" s="131">
        <f>IF(NFI_Expiration=1,IF($A379&lt;VLOOKUP(N$5,NFI,5,0),1,0)*Data_NFI_t[[#This Row],[Blanket]],0)</f>
        <v>0</v>
      </c>
      <c r="Z379" s="131">
        <f>IF(NFI_Expiration=1,IF($A379&lt;VLOOKUP(O$5,NFI,5,0),1,0)*Data_NFI_t[[#This Row],[Kitchen Set]],0)</f>
        <v>0</v>
      </c>
      <c r="AA379" s="131">
        <f>IF(NFI_Expiration=1,IF($A379&lt;VLOOKUP(P$5,NFI,5,0),1,0)*Data_NFI_t[[#This Row],[Complementary Kit]],0)</f>
        <v>0</v>
      </c>
      <c r="AB379" s="131">
        <f>IF(NFI_Expiration=1,IF($A379&lt;VLOOKUP(Q$5,NFI,5,0),1,0)*Data_NFI_t[[#This Row],[Plastic Bucket]],0)</f>
        <v>0</v>
      </c>
      <c r="AC379" s="131">
        <f>IF(NFI_Expiration=1,IF($A379&lt;VLOOKUP(R$5,NFI,5,0),1,0)*Data_NFI_t[[#This Row],[Jerry Can]],0)</f>
        <v>0</v>
      </c>
      <c r="AD379" s="150">
        <f>IF(NFI_Expiration=1,IF($A379&lt;VLOOKUP(S$5,NFI,5,0),1,0)*Data_NFI_t[[#This Row],[Plastic Mat]],0)*IF(Data_NFI_t[[#This Row],[Distribution Date]]&gt;"01-04-2014",1,2.5)</f>
        <v>0</v>
      </c>
      <c r="AE379" s="150" t="str">
        <f ca="1">IFERROR(OFFSET(Camp_List[P_Code],MATCH(Data_NFI_t[[#This Row],[Camp Name]],Camp_List[Camp Name],0)-1,0,1,1),"")</f>
        <v>MMR012CMP068</v>
      </c>
      <c r="AF379" s="714" t="str">
        <f ca="1">IFERROR(OFFSET(Camp_List[Status],MATCH(Data_NFI_t[[#This Row],[Camp Name]],Camp_List[Camp Name],0)-1,0,1,1),"")</f>
        <v>Close</v>
      </c>
    </row>
    <row r="380" spans="1:32" s="102" customFormat="1" ht="15" customHeight="1" x14ac:dyDescent="0.25">
      <c r="A380" s="265">
        <f t="shared" si="5"/>
        <v>41.666666666666664</v>
      </c>
      <c r="B380" s="265">
        <f>YEAR(Data_NFI_t[[#This Row],[Distribution Date]])</f>
        <v>2012</v>
      </c>
      <c r="C380" s="738">
        <v>41089</v>
      </c>
      <c r="D380" s="655" t="s">
        <v>288</v>
      </c>
      <c r="E380" s="654"/>
      <c r="F380" s="655" t="s">
        <v>7</v>
      </c>
      <c r="G380" s="31" t="s">
        <v>19</v>
      </c>
      <c r="H380" s="31" t="s">
        <v>70</v>
      </c>
      <c r="I380" s="31"/>
      <c r="J380" s="61"/>
      <c r="K380" s="61"/>
      <c r="L380" s="61"/>
      <c r="M380" s="61">
        <v>200</v>
      </c>
      <c r="N380" s="61"/>
      <c r="O380" s="61"/>
      <c r="P380" s="61"/>
      <c r="Q380" s="61"/>
      <c r="R380" s="708"/>
      <c r="S380" s="61"/>
      <c r="T380" s="150">
        <f>IF(NFI_Expiration=1,IF($A380&lt;VLOOKUP(I$5,NFI,5,0),1,0)*Data_NFI_t[[#This Row],[Hygiene Kit]],0)</f>
        <v>0</v>
      </c>
      <c r="U380" s="150">
        <f>IF(NFI_Expiration=1,IF($A380&lt;VLOOKUP(J$5,NFI,5,0),1,0)*Data_NFI_t[[#This Row],[NFI Core Kit]],0)</f>
        <v>0</v>
      </c>
      <c r="V380" s="131">
        <f>IF(NFI_Expiration=1,IF($A380&lt;VLOOKUP(K$5,NFI,5,0),1,0)*Data_NFI_t[[#This Row],[Sanitary Kit]],0)</f>
        <v>0</v>
      </c>
      <c r="W380" s="131">
        <f>IF(NFI_Expiration=1,IF($A380&lt;VLOOKUP(L$5,NFI,5,0),1,0)*Data_NFI_t[[#This Row],[Mosquito net]],0)</f>
        <v>0</v>
      </c>
      <c r="X380" s="131">
        <f>IF(NFI_Expiration=1,IF($A380&lt;VLOOKUP(M$5,NFI,5,0),1,0)*Data_NFI_t[[#This Row],[Tarpaulin]],0)</f>
        <v>0</v>
      </c>
      <c r="Y380" s="131">
        <f>IF(NFI_Expiration=1,IF($A380&lt;VLOOKUP(N$5,NFI,5,0),1,0)*Data_NFI_t[[#This Row],[Blanket]],0)</f>
        <v>0</v>
      </c>
      <c r="Z380" s="131">
        <f>IF(NFI_Expiration=1,IF($A380&lt;VLOOKUP(O$5,NFI,5,0),1,0)*Data_NFI_t[[#This Row],[Kitchen Set]],0)</f>
        <v>0</v>
      </c>
      <c r="AA380" s="131">
        <f>IF(NFI_Expiration=1,IF($A380&lt;VLOOKUP(P$5,NFI,5,0),1,0)*Data_NFI_t[[#This Row],[Complementary Kit]],0)</f>
        <v>0</v>
      </c>
      <c r="AB380" s="131">
        <f>IF(NFI_Expiration=1,IF($A380&lt;VLOOKUP(Q$5,NFI,5,0),1,0)*Data_NFI_t[[#This Row],[Plastic Bucket]],0)</f>
        <v>0</v>
      </c>
      <c r="AC380" s="131">
        <f>IF(NFI_Expiration=1,IF($A380&lt;VLOOKUP(R$5,NFI,5,0),1,0)*Data_NFI_t[[#This Row],[Jerry Can]],0)</f>
        <v>0</v>
      </c>
      <c r="AD380" s="150">
        <f>IF(NFI_Expiration=1,IF($A380&lt;VLOOKUP(S$5,NFI,5,0),1,0)*Data_NFI_t[[#This Row],[Plastic Mat]],0)*IF(Data_NFI_t[[#This Row],[Distribution Date]]&gt;"01-04-2014",1,2.5)</f>
        <v>0</v>
      </c>
      <c r="AE380" s="150" t="str">
        <f ca="1">IFERROR(OFFSET(Camp_List[P_Code],MATCH(Data_NFI_t[[#This Row],[Camp Name]],Camp_List[Camp Name],0)-1,0,1,1),"")</f>
        <v>MMR012CMP048</v>
      </c>
      <c r="AF380" s="714" t="str">
        <f ca="1">IFERROR(OFFSET(Camp_List[Status],MATCH(Data_NFI_t[[#This Row],[Camp Name]],Camp_List[Camp Name],0)-1,0,1,1),"")</f>
        <v>Open</v>
      </c>
    </row>
    <row r="381" spans="1:32" s="102" customFormat="1" ht="15" customHeight="1" x14ac:dyDescent="0.25">
      <c r="A381" s="265">
        <f t="shared" si="5"/>
        <v>41.7</v>
      </c>
      <c r="B381" s="265">
        <f>YEAR(Data_NFI_t[[#This Row],[Distribution Date]])</f>
        <v>2012</v>
      </c>
      <c r="C381" s="738">
        <v>41088</v>
      </c>
      <c r="D381" s="655" t="s">
        <v>288</v>
      </c>
      <c r="E381" s="654"/>
      <c r="F381" s="655" t="s">
        <v>7</v>
      </c>
      <c r="G381" s="31" t="s">
        <v>19</v>
      </c>
      <c r="H381" s="31" t="s">
        <v>293</v>
      </c>
      <c r="I381" s="31"/>
      <c r="J381" s="61"/>
      <c r="K381" s="61"/>
      <c r="L381" s="61"/>
      <c r="M381" s="61">
        <v>52</v>
      </c>
      <c r="N381" s="61"/>
      <c r="O381" s="61"/>
      <c r="P381" s="61"/>
      <c r="Q381" s="61"/>
      <c r="R381" s="708"/>
      <c r="S381" s="61"/>
      <c r="T381" s="150">
        <f>IF(NFI_Expiration=1,IF($A381&lt;VLOOKUP(I$5,NFI,5,0),1,0)*Data_NFI_t[[#This Row],[Hygiene Kit]],0)</f>
        <v>0</v>
      </c>
      <c r="U381" s="150">
        <f>IF(NFI_Expiration=1,IF($A381&lt;VLOOKUP(J$5,NFI,5,0),1,0)*Data_NFI_t[[#This Row],[NFI Core Kit]],0)</f>
        <v>0</v>
      </c>
      <c r="V381" s="131">
        <f>IF(NFI_Expiration=1,IF($A381&lt;VLOOKUP(K$5,NFI,5,0),1,0)*Data_NFI_t[[#This Row],[Sanitary Kit]],0)</f>
        <v>0</v>
      </c>
      <c r="W381" s="131">
        <f>IF(NFI_Expiration=1,IF($A381&lt;VLOOKUP(L$5,NFI,5,0),1,0)*Data_NFI_t[[#This Row],[Mosquito net]],0)</f>
        <v>0</v>
      </c>
      <c r="X381" s="131">
        <f>IF(NFI_Expiration=1,IF($A381&lt;VLOOKUP(M$5,NFI,5,0),1,0)*Data_NFI_t[[#This Row],[Tarpaulin]],0)</f>
        <v>0</v>
      </c>
      <c r="Y381" s="131">
        <f>IF(NFI_Expiration=1,IF($A381&lt;VLOOKUP(N$5,NFI,5,0),1,0)*Data_NFI_t[[#This Row],[Blanket]],0)</f>
        <v>0</v>
      </c>
      <c r="Z381" s="131">
        <f>IF(NFI_Expiration=1,IF($A381&lt;VLOOKUP(O$5,NFI,5,0),1,0)*Data_NFI_t[[#This Row],[Kitchen Set]],0)</f>
        <v>0</v>
      </c>
      <c r="AA381" s="131">
        <f>IF(NFI_Expiration=1,IF($A381&lt;VLOOKUP(P$5,NFI,5,0),1,0)*Data_NFI_t[[#This Row],[Complementary Kit]],0)</f>
        <v>0</v>
      </c>
      <c r="AB381" s="131">
        <f>IF(NFI_Expiration=1,IF($A381&lt;VLOOKUP(Q$5,NFI,5,0),1,0)*Data_NFI_t[[#This Row],[Plastic Bucket]],0)</f>
        <v>0</v>
      </c>
      <c r="AC381" s="131">
        <f>IF(NFI_Expiration=1,IF($A381&lt;VLOOKUP(R$5,NFI,5,0),1,0)*Data_NFI_t[[#This Row],[Jerry Can]],0)</f>
        <v>0</v>
      </c>
      <c r="AD381" s="150">
        <f>IF(NFI_Expiration=1,IF($A381&lt;VLOOKUP(S$5,NFI,5,0),1,0)*Data_NFI_t[[#This Row],[Plastic Mat]],0)*IF(Data_NFI_t[[#This Row],[Distribution Date]]&gt;"01-04-2014",1,2.5)</f>
        <v>0</v>
      </c>
      <c r="AE381" s="150" t="str">
        <f ca="1">IFERROR(OFFSET(Camp_List[P_Code],MATCH(Data_NFI_t[[#This Row],[Camp Name]],Camp_List[Camp Name],0)-1,0,1,1),"")</f>
        <v/>
      </c>
      <c r="AF381" s="714" t="str">
        <f ca="1">IFERROR(OFFSET(Camp_List[Status],MATCH(Data_NFI_t[[#This Row],[Camp Name]],Camp_List[Camp Name],0)-1,0,1,1),"")</f>
        <v/>
      </c>
    </row>
    <row r="382" spans="1:32" s="102" customFormat="1" ht="15" customHeight="1" x14ac:dyDescent="0.25">
      <c r="A382" s="265">
        <f t="shared" si="5"/>
        <v>41.7</v>
      </c>
      <c r="B382" s="265">
        <f>YEAR(Data_NFI_t[[#This Row],[Distribution Date]])</f>
        <v>2012</v>
      </c>
      <c r="C382" s="738">
        <v>41088</v>
      </c>
      <c r="D382" s="655" t="s">
        <v>288</v>
      </c>
      <c r="E382" s="654"/>
      <c r="F382" s="655" t="s">
        <v>7</v>
      </c>
      <c r="G382" s="31" t="s">
        <v>19</v>
      </c>
      <c r="H382" s="31" t="s">
        <v>63</v>
      </c>
      <c r="I382" s="31"/>
      <c r="J382" s="61"/>
      <c r="K382" s="61"/>
      <c r="L382" s="61"/>
      <c r="M382" s="61">
        <v>300</v>
      </c>
      <c r="N382" s="61"/>
      <c r="O382" s="61"/>
      <c r="P382" s="61"/>
      <c r="Q382" s="61"/>
      <c r="R382" s="708"/>
      <c r="S382" s="61"/>
      <c r="T382" s="150">
        <f>IF(NFI_Expiration=1,IF($A382&lt;VLOOKUP(I$5,NFI,5,0),1,0)*Data_NFI_t[[#This Row],[Hygiene Kit]],0)</f>
        <v>0</v>
      </c>
      <c r="U382" s="150">
        <f>IF(NFI_Expiration=1,IF($A382&lt;VLOOKUP(J$5,NFI,5,0),1,0)*Data_NFI_t[[#This Row],[NFI Core Kit]],0)</f>
        <v>0</v>
      </c>
      <c r="V382" s="131">
        <f>IF(NFI_Expiration=1,IF($A382&lt;VLOOKUP(K$5,NFI,5,0),1,0)*Data_NFI_t[[#This Row],[Sanitary Kit]],0)</f>
        <v>0</v>
      </c>
      <c r="W382" s="131">
        <f>IF(NFI_Expiration=1,IF($A382&lt;VLOOKUP(L$5,NFI,5,0),1,0)*Data_NFI_t[[#This Row],[Mosquito net]],0)</f>
        <v>0</v>
      </c>
      <c r="X382" s="131">
        <f>IF(NFI_Expiration=1,IF($A382&lt;VLOOKUP(M$5,NFI,5,0),1,0)*Data_NFI_t[[#This Row],[Tarpaulin]],0)</f>
        <v>0</v>
      </c>
      <c r="Y382" s="131">
        <f>IF(NFI_Expiration=1,IF($A382&lt;VLOOKUP(N$5,NFI,5,0),1,0)*Data_NFI_t[[#This Row],[Blanket]],0)</f>
        <v>0</v>
      </c>
      <c r="Z382" s="131">
        <f>IF(NFI_Expiration=1,IF($A382&lt;VLOOKUP(O$5,NFI,5,0),1,0)*Data_NFI_t[[#This Row],[Kitchen Set]],0)</f>
        <v>0</v>
      </c>
      <c r="AA382" s="131">
        <f>IF(NFI_Expiration=1,IF($A382&lt;VLOOKUP(P$5,NFI,5,0),1,0)*Data_NFI_t[[#This Row],[Complementary Kit]],0)</f>
        <v>0</v>
      </c>
      <c r="AB382" s="131">
        <f>IF(NFI_Expiration=1,IF($A382&lt;VLOOKUP(Q$5,NFI,5,0),1,0)*Data_NFI_t[[#This Row],[Plastic Bucket]],0)</f>
        <v>0</v>
      </c>
      <c r="AC382" s="131">
        <f>IF(NFI_Expiration=1,IF($A382&lt;VLOOKUP(R$5,NFI,5,0),1,0)*Data_NFI_t[[#This Row],[Jerry Can]],0)</f>
        <v>0</v>
      </c>
      <c r="AD382" s="150">
        <f>IF(NFI_Expiration=1,IF($A382&lt;VLOOKUP(S$5,NFI,5,0),1,0)*Data_NFI_t[[#This Row],[Plastic Mat]],0)*IF(Data_NFI_t[[#This Row],[Distribution Date]]&gt;"01-04-2014",1,2.5)</f>
        <v>0</v>
      </c>
      <c r="AE382" s="150" t="str">
        <f ca="1">IFERROR(OFFSET(Camp_List[P_Code],MATCH(Data_NFI_t[[#This Row],[Camp Name]],Camp_List[Camp Name],0)-1,0,1,1),"")</f>
        <v>MMR012CMP041</v>
      </c>
      <c r="AF382" s="714" t="str">
        <f ca="1">IFERROR(OFFSET(Camp_List[Status],MATCH(Data_NFI_t[[#This Row],[Camp Name]],Camp_List[Camp Name],0)-1,0,1,1),"")</f>
        <v>Open</v>
      </c>
    </row>
    <row r="383" spans="1:32" s="102" customFormat="1" ht="15" customHeight="1" x14ac:dyDescent="0.25">
      <c r="A383" s="265">
        <f t="shared" si="5"/>
        <v>41.7</v>
      </c>
      <c r="B383" s="265">
        <f>YEAR(Data_NFI_t[[#This Row],[Distribution Date]])</f>
        <v>2012</v>
      </c>
      <c r="C383" s="738">
        <v>41088</v>
      </c>
      <c r="D383" s="655" t="s">
        <v>288</v>
      </c>
      <c r="E383" s="654"/>
      <c r="F383" s="655" t="s">
        <v>7</v>
      </c>
      <c r="G383" s="31" t="s">
        <v>19</v>
      </c>
      <c r="H383" s="31" t="s">
        <v>253</v>
      </c>
      <c r="I383" s="31"/>
      <c r="J383" s="61"/>
      <c r="K383" s="61"/>
      <c r="L383" s="61"/>
      <c r="M383" s="61">
        <v>9</v>
      </c>
      <c r="N383" s="61"/>
      <c r="O383" s="61"/>
      <c r="P383" s="61"/>
      <c r="Q383" s="61"/>
      <c r="R383" s="708"/>
      <c r="S383" s="61"/>
      <c r="T383" s="150">
        <f>IF(NFI_Expiration=1,IF($A383&lt;VLOOKUP(I$5,NFI,5,0),1,0)*Data_NFI_t[[#This Row],[Hygiene Kit]],0)</f>
        <v>0</v>
      </c>
      <c r="U383" s="150">
        <f>IF(NFI_Expiration=1,IF($A383&lt;VLOOKUP(J$5,NFI,5,0),1,0)*Data_NFI_t[[#This Row],[NFI Core Kit]],0)</f>
        <v>0</v>
      </c>
      <c r="V383" s="131">
        <f>IF(NFI_Expiration=1,IF($A383&lt;VLOOKUP(K$5,NFI,5,0),1,0)*Data_NFI_t[[#This Row],[Sanitary Kit]],0)</f>
        <v>0</v>
      </c>
      <c r="W383" s="131">
        <f>IF(NFI_Expiration=1,IF($A383&lt;VLOOKUP(L$5,NFI,5,0),1,0)*Data_NFI_t[[#This Row],[Mosquito net]],0)</f>
        <v>0</v>
      </c>
      <c r="X383" s="131">
        <f>IF(NFI_Expiration=1,IF($A383&lt;VLOOKUP(M$5,NFI,5,0),1,0)*Data_NFI_t[[#This Row],[Tarpaulin]],0)</f>
        <v>0</v>
      </c>
      <c r="Y383" s="131">
        <f>IF(NFI_Expiration=1,IF($A383&lt;VLOOKUP(N$5,NFI,5,0),1,0)*Data_NFI_t[[#This Row],[Blanket]],0)</f>
        <v>0</v>
      </c>
      <c r="Z383" s="131">
        <f>IF(NFI_Expiration=1,IF($A383&lt;VLOOKUP(O$5,NFI,5,0),1,0)*Data_NFI_t[[#This Row],[Kitchen Set]],0)</f>
        <v>0</v>
      </c>
      <c r="AA383" s="131">
        <f>IF(NFI_Expiration=1,IF($A383&lt;VLOOKUP(P$5,NFI,5,0),1,0)*Data_NFI_t[[#This Row],[Complementary Kit]],0)</f>
        <v>0</v>
      </c>
      <c r="AB383" s="131">
        <f>IF(NFI_Expiration=1,IF($A383&lt;VLOOKUP(Q$5,NFI,5,0),1,0)*Data_NFI_t[[#This Row],[Plastic Bucket]],0)</f>
        <v>0</v>
      </c>
      <c r="AC383" s="131">
        <f>IF(NFI_Expiration=1,IF($A383&lt;VLOOKUP(R$5,NFI,5,0),1,0)*Data_NFI_t[[#This Row],[Jerry Can]],0)</f>
        <v>0</v>
      </c>
      <c r="AD383" s="150">
        <f>IF(NFI_Expiration=1,IF($A383&lt;VLOOKUP(S$5,NFI,5,0),1,0)*Data_NFI_t[[#This Row],[Plastic Mat]],0)*IF(Data_NFI_t[[#This Row],[Distribution Date]]&gt;"01-04-2014",1,2.5)</f>
        <v>0</v>
      </c>
      <c r="AE383" s="150" t="str">
        <f ca="1">IFERROR(OFFSET(Camp_List[P_Code],MATCH(Data_NFI_t[[#This Row],[Camp Name]],Camp_List[Camp Name],0)-1,0,1,1),"")</f>
        <v/>
      </c>
      <c r="AF383" s="714" t="str">
        <f ca="1">IFERROR(OFFSET(Camp_List[Status],MATCH(Data_NFI_t[[#This Row],[Camp Name]],Camp_List[Camp Name],0)-1,0,1,1),"")</f>
        <v/>
      </c>
    </row>
    <row r="384" spans="1:32" s="102" customFormat="1" ht="15" customHeight="1" x14ac:dyDescent="0.25">
      <c r="A384" s="265">
        <f t="shared" si="5"/>
        <v>41.7</v>
      </c>
      <c r="B384" s="265">
        <f>YEAR(Data_NFI_t[[#This Row],[Distribution Date]])</f>
        <v>2012</v>
      </c>
      <c r="C384" s="738">
        <v>41088</v>
      </c>
      <c r="D384" s="655" t="s">
        <v>288</v>
      </c>
      <c r="E384" s="654"/>
      <c r="F384" s="655" t="s">
        <v>7</v>
      </c>
      <c r="G384" s="31" t="s">
        <v>19</v>
      </c>
      <c r="H384" s="31" t="s">
        <v>252</v>
      </c>
      <c r="I384" s="31"/>
      <c r="J384" s="61"/>
      <c r="K384" s="61"/>
      <c r="L384" s="61"/>
      <c r="M384" s="61">
        <v>11</v>
      </c>
      <c r="N384" s="61"/>
      <c r="O384" s="61"/>
      <c r="P384" s="61"/>
      <c r="Q384" s="61"/>
      <c r="R384" s="708"/>
      <c r="S384" s="61"/>
      <c r="T384" s="150">
        <f>IF(NFI_Expiration=1,IF($A384&lt;VLOOKUP(I$5,NFI,5,0),1,0)*Data_NFI_t[[#This Row],[Hygiene Kit]],0)</f>
        <v>0</v>
      </c>
      <c r="U384" s="150">
        <f>IF(NFI_Expiration=1,IF($A384&lt;VLOOKUP(J$5,NFI,5,0),1,0)*Data_NFI_t[[#This Row],[NFI Core Kit]],0)</f>
        <v>0</v>
      </c>
      <c r="V384" s="131">
        <f>IF(NFI_Expiration=1,IF($A384&lt;VLOOKUP(K$5,NFI,5,0),1,0)*Data_NFI_t[[#This Row],[Sanitary Kit]],0)</f>
        <v>0</v>
      </c>
      <c r="W384" s="131">
        <f>IF(NFI_Expiration=1,IF($A384&lt;VLOOKUP(L$5,NFI,5,0),1,0)*Data_NFI_t[[#This Row],[Mosquito net]],0)</f>
        <v>0</v>
      </c>
      <c r="X384" s="131">
        <f>IF(NFI_Expiration=1,IF($A384&lt;VLOOKUP(M$5,NFI,5,0),1,0)*Data_NFI_t[[#This Row],[Tarpaulin]],0)</f>
        <v>0</v>
      </c>
      <c r="Y384" s="131">
        <f>IF(NFI_Expiration=1,IF($A384&lt;VLOOKUP(N$5,NFI,5,0),1,0)*Data_NFI_t[[#This Row],[Blanket]],0)</f>
        <v>0</v>
      </c>
      <c r="Z384" s="131">
        <f>IF(NFI_Expiration=1,IF($A384&lt;VLOOKUP(O$5,NFI,5,0),1,0)*Data_NFI_t[[#This Row],[Kitchen Set]],0)</f>
        <v>0</v>
      </c>
      <c r="AA384" s="131">
        <f>IF(NFI_Expiration=1,IF($A384&lt;VLOOKUP(P$5,NFI,5,0),1,0)*Data_NFI_t[[#This Row],[Complementary Kit]],0)</f>
        <v>0</v>
      </c>
      <c r="AB384" s="131">
        <f>IF(NFI_Expiration=1,IF($A384&lt;VLOOKUP(Q$5,NFI,5,0),1,0)*Data_NFI_t[[#This Row],[Plastic Bucket]],0)</f>
        <v>0</v>
      </c>
      <c r="AC384" s="131">
        <f>IF(NFI_Expiration=1,IF($A384&lt;VLOOKUP(R$5,NFI,5,0),1,0)*Data_NFI_t[[#This Row],[Jerry Can]],0)</f>
        <v>0</v>
      </c>
      <c r="AD384" s="150">
        <f>IF(NFI_Expiration=1,IF($A384&lt;VLOOKUP(S$5,NFI,5,0),1,0)*Data_NFI_t[[#This Row],[Plastic Mat]],0)*IF(Data_NFI_t[[#This Row],[Distribution Date]]&gt;"01-04-2014",1,2.5)</f>
        <v>0</v>
      </c>
      <c r="AE384" s="150" t="str">
        <f ca="1">IFERROR(OFFSET(Camp_List[P_Code],MATCH(Data_NFI_t[[#This Row],[Camp Name]],Camp_List[Camp Name],0)-1,0,1,1),"")</f>
        <v/>
      </c>
      <c r="AF384" s="714" t="str">
        <f ca="1">IFERROR(OFFSET(Camp_List[Status],MATCH(Data_NFI_t[[#This Row],[Camp Name]],Camp_List[Camp Name],0)-1,0,1,1),"")</f>
        <v/>
      </c>
    </row>
    <row r="385" spans="1:32" s="102" customFormat="1" ht="15" customHeight="1" x14ac:dyDescent="0.25">
      <c r="A385" s="265">
        <f t="shared" si="5"/>
        <v>41.7</v>
      </c>
      <c r="B385" s="265">
        <f>YEAR(Data_NFI_t[[#This Row],[Distribution Date]])</f>
        <v>2012</v>
      </c>
      <c r="C385" s="738">
        <v>41088</v>
      </c>
      <c r="D385" s="655" t="s">
        <v>288</v>
      </c>
      <c r="E385" s="654"/>
      <c r="F385" s="655" t="s">
        <v>7</v>
      </c>
      <c r="G385" s="31" t="s">
        <v>19</v>
      </c>
      <c r="H385" s="31" t="s">
        <v>251</v>
      </c>
      <c r="I385" s="31"/>
      <c r="J385" s="61"/>
      <c r="K385" s="61"/>
      <c r="L385" s="61"/>
      <c r="M385" s="61">
        <v>89</v>
      </c>
      <c r="N385" s="61"/>
      <c r="O385" s="61"/>
      <c r="P385" s="61"/>
      <c r="Q385" s="61"/>
      <c r="R385" s="708"/>
      <c r="S385" s="61"/>
      <c r="T385" s="150">
        <f>IF(NFI_Expiration=1,IF($A385&lt;VLOOKUP(I$5,NFI,5,0),1,0)*Data_NFI_t[[#This Row],[Hygiene Kit]],0)</f>
        <v>0</v>
      </c>
      <c r="U385" s="150">
        <f>IF(NFI_Expiration=1,IF($A385&lt;VLOOKUP(J$5,NFI,5,0),1,0)*Data_NFI_t[[#This Row],[NFI Core Kit]],0)</f>
        <v>0</v>
      </c>
      <c r="V385" s="131">
        <f>IF(NFI_Expiration=1,IF($A385&lt;VLOOKUP(K$5,NFI,5,0),1,0)*Data_NFI_t[[#This Row],[Sanitary Kit]],0)</f>
        <v>0</v>
      </c>
      <c r="W385" s="131">
        <f>IF(NFI_Expiration=1,IF($A385&lt;VLOOKUP(L$5,NFI,5,0),1,0)*Data_NFI_t[[#This Row],[Mosquito net]],0)</f>
        <v>0</v>
      </c>
      <c r="X385" s="131">
        <f>IF(NFI_Expiration=1,IF($A385&lt;VLOOKUP(M$5,NFI,5,0),1,0)*Data_NFI_t[[#This Row],[Tarpaulin]],0)</f>
        <v>0</v>
      </c>
      <c r="Y385" s="131">
        <f>IF(NFI_Expiration=1,IF($A385&lt;VLOOKUP(N$5,NFI,5,0),1,0)*Data_NFI_t[[#This Row],[Blanket]],0)</f>
        <v>0</v>
      </c>
      <c r="Z385" s="131">
        <f>IF(NFI_Expiration=1,IF($A385&lt;VLOOKUP(O$5,NFI,5,0),1,0)*Data_NFI_t[[#This Row],[Kitchen Set]],0)</f>
        <v>0</v>
      </c>
      <c r="AA385" s="131">
        <f>IF(NFI_Expiration=1,IF($A385&lt;VLOOKUP(P$5,NFI,5,0),1,0)*Data_NFI_t[[#This Row],[Complementary Kit]],0)</f>
        <v>0</v>
      </c>
      <c r="AB385" s="131">
        <f>IF(NFI_Expiration=1,IF($A385&lt;VLOOKUP(Q$5,NFI,5,0),1,0)*Data_NFI_t[[#This Row],[Plastic Bucket]],0)</f>
        <v>0</v>
      </c>
      <c r="AC385" s="131">
        <f>IF(NFI_Expiration=1,IF($A385&lt;VLOOKUP(R$5,NFI,5,0),1,0)*Data_NFI_t[[#This Row],[Jerry Can]],0)</f>
        <v>0</v>
      </c>
      <c r="AD385" s="150">
        <f>IF(NFI_Expiration=1,IF($A385&lt;VLOOKUP(S$5,NFI,5,0),1,0)*Data_NFI_t[[#This Row],[Plastic Mat]],0)*IF(Data_NFI_t[[#This Row],[Distribution Date]]&gt;"01-04-2014",1,2.5)</f>
        <v>0</v>
      </c>
      <c r="AE385" s="150" t="str">
        <f ca="1">IFERROR(OFFSET(Camp_List[P_Code],MATCH(Data_NFI_t[[#This Row],[Camp Name]],Camp_List[Camp Name],0)-1,0,1,1),"")</f>
        <v/>
      </c>
      <c r="AF385" s="714" t="str">
        <f ca="1">IFERROR(OFFSET(Camp_List[Status],MATCH(Data_NFI_t[[#This Row],[Camp Name]],Camp_List[Camp Name],0)-1,0,1,1),"")</f>
        <v/>
      </c>
    </row>
    <row r="386" spans="1:32" s="102" customFormat="1" ht="15" customHeight="1" x14ac:dyDescent="0.25">
      <c r="A386" s="265">
        <f t="shared" si="5"/>
        <v>41.733333333333334</v>
      </c>
      <c r="B386" s="265">
        <f>YEAR(Data_NFI_t[[#This Row],[Distribution Date]])</f>
        <v>2012</v>
      </c>
      <c r="C386" s="738">
        <v>41087</v>
      </c>
      <c r="D386" s="655" t="s">
        <v>288</v>
      </c>
      <c r="E386" s="654"/>
      <c r="F386" s="655" t="s">
        <v>7</v>
      </c>
      <c r="G386" s="31" t="s">
        <v>19</v>
      </c>
      <c r="H386" s="31" t="s">
        <v>94</v>
      </c>
      <c r="I386" s="31"/>
      <c r="J386" s="61"/>
      <c r="K386" s="61"/>
      <c r="L386" s="61"/>
      <c r="M386" s="61">
        <v>120</v>
      </c>
      <c r="N386" s="61"/>
      <c r="O386" s="61"/>
      <c r="P386" s="61"/>
      <c r="Q386" s="61"/>
      <c r="R386" s="708"/>
      <c r="S386" s="61"/>
      <c r="T386" s="150">
        <f>IF(NFI_Expiration=1,IF($A386&lt;VLOOKUP(I$5,NFI,5,0),1,0)*Data_NFI_t[[#This Row],[Hygiene Kit]],0)</f>
        <v>0</v>
      </c>
      <c r="U386" s="150">
        <f>IF(NFI_Expiration=1,IF($A386&lt;VLOOKUP(J$5,NFI,5,0),1,0)*Data_NFI_t[[#This Row],[NFI Core Kit]],0)</f>
        <v>0</v>
      </c>
      <c r="V386" s="131">
        <f>IF(NFI_Expiration=1,IF($A386&lt;VLOOKUP(K$5,NFI,5,0),1,0)*Data_NFI_t[[#This Row],[Sanitary Kit]],0)</f>
        <v>0</v>
      </c>
      <c r="W386" s="131">
        <f>IF(NFI_Expiration=1,IF($A386&lt;VLOOKUP(L$5,NFI,5,0),1,0)*Data_NFI_t[[#This Row],[Mosquito net]],0)</f>
        <v>0</v>
      </c>
      <c r="X386" s="131">
        <f>IF(NFI_Expiration=1,IF($A386&lt;VLOOKUP(M$5,NFI,5,0),1,0)*Data_NFI_t[[#This Row],[Tarpaulin]],0)</f>
        <v>0</v>
      </c>
      <c r="Y386" s="131">
        <f>IF(NFI_Expiration=1,IF($A386&lt;VLOOKUP(N$5,NFI,5,0),1,0)*Data_NFI_t[[#This Row],[Blanket]],0)</f>
        <v>0</v>
      </c>
      <c r="Z386" s="131">
        <f>IF(NFI_Expiration=1,IF($A386&lt;VLOOKUP(O$5,NFI,5,0),1,0)*Data_NFI_t[[#This Row],[Kitchen Set]],0)</f>
        <v>0</v>
      </c>
      <c r="AA386" s="131">
        <f>IF(NFI_Expiration=1,IF($A386&lt;VLOOKUP(P$5,NFI,5,0),1,0)*Data_NFI_t[[#This Row],[Complementary Kit]],0)</f>
        <v>0</v>
      </c>
      <c r="AB386" s="131">
        <f>IF(NFI_Expiration=1,IF($A386&lt;VLOOKUP(Q$5,NFI,5,0),1,0)*Data_NFI_t[[#This Row],[Plastic Bucket]],0)</f>
        <v>0</v>
      </c>
      <c r="AC386" s="131">
        <f>IF(NFI_Expiration=1,IF($A386&lt;VLOOKUP(R$5,NFI,5,0),1,0)*Data_NFI_t[[#This Row],[Jerry Can]],0)</f>
        <v>0</v>
      </c>
      <c r="AD386" s="150">
        <f>IF(NFI_Expiration=1,IF($A386&lt;VLOOKUP(S$5,NFI,5,0),1,0)*Data_NFI_t[[#This Row],[Plastic Mat]],0)*IF(Data_NFI_t[[#This Row],[Distribution Date]]&gt;"01-04-2014",1,2.5)</f>
        <v>0</v>
      </c>
      <c r="AE386" s="150" t="str">
        <f ca="1">IFERROR(OFFSET(Camp_List[P_Code],MATCH(Data_NFI_t[[#This Row],[Camp Name]],Camp_List[Camp Name],0)-1,0,1,1),"")</f>
        <v>MMR012CMP072</v>
      </c>
      <c r="AF386" s="714" t="str">
        <f ca="1">IFERROR(OFFSET(Camp_List[Status],MATCH(Data_NFI_t[[#This Row],[Camp Name]],Camp_List[Camp Name],0)-1,0,1,1),"")</f>
        <v>Close</v>
      </c>
    </row>
    <row r="387" spans="1:32" s="102" customFormat="1" ht="15" customHeight="1" x14ac:dyDescent="0.25">
      <c r="A387" s="265">
        <f t="shared" si="5"/>
        <v>41.733333333333334</v>
      </c>
      <c r="B387" s="265">
        <f>YEAR(Data_NFI_t[[#This Row],[Distribution Date]])</f>
        <v>2012</v>
      </c>
      <c r="C387" s="738">
        <v>41087</v>
      </c>
      <c r="D387" s="655" t="s">
        <v>288</v>
      </c>
      <c r="E387" s="654"/>
      <c r="F387" s="655" t="s">
        <v>7</v>
      </c>
      <c r="G387" s="31" t="s">
        <v>19</v>
      </c>
      <c r="H387" s="31" t="s">
        <v>249</v>
      </c>
      <c r="I387" s="31"/>
      <c r="J387" s="61"/>
      <c r="K387" s="61"/>
      <c r="L387" s="61"/>
      <c r="M387" s="61">
        <v>11</v>
      </c>
      <c r="N387" s="61"/>
      <c r="O387" s="61"/>
      <c r="P387" s="61"/>
      <c r="Q387" s="61"/>
      <c r="R387" s="708"/>
      <c r="S387" s="61"/>
      <c r="T387" s="150">
        <f>IF(NFI_Expiration=1,IF($A387&lt;VLOOKUP(I$5,NFI,5,0),1,0)*Data_NFI_t[[#This Row],[Hygiene Kit]],0)</f>
        <v>0</v>
      </c>
      <c r="U387" s="150">
        <f>IF(NFI_Expiration=1,IF($A387&lt;VLOOKUP(J$5,NFI,5,0),1,0)*Data_NFI_t[[#This Row],[NFI Core Kit]],0)</f>
        <v>0</v>
      </c>
      <c r="V387" s="131">
        <f>IF(NFI_Expiration=1,IF($A387&lt;VLOOKUP(K$5,NFI,5,0),1,0)*Data_NFI_t[[#This Row],[Sanitary Kit]],0)</f>
        <v>0</v>
      </c>
      <c r="W387" s="131">
        <f>IF(NFI_Expiration=1,IF($A387&lt;VLOOKUP(L$5,NFI,5,0),1,0)*Data_NFI_t[[#This Row],[Mosquito net]],0)</f>
        <v>0</v>
      </c>
      <c r="X387" s="131">
        <f>IF(NFI_Expiration=1,IF($A387&lt;VLOOKUP(M$5,NFI,5,0),1,0)*Data_NFI_t[[#This Row],[Tarpaulin]],0)</f>
        <v>0</v>
      </c>
      <c r="Y387" s="131">
        <f>IF(NFI_Expiration=1,IF($A387&lt;VLOOKUP(N$5,NFI,5,0),1,0)*Data_NFI_t[[#This Row],[Blanket]],0)</f>
        <v>0</v>
      </c>
      <c r="Z387" s="131">
        <f>IF(NFI_Expiration=1,IF($A387&lt;VLOOKUP(O$5,NFI,5,0),1,0)*Data_NFI_t[[#This Row],[Kitchen Set]],0)</f>
        <v>0</v>
      </c>
      <c r="AA387" s="131">
        <f>IF(NFI_Expiration=1,IF($A387&lt;VLOOKUP(P$5,NFI,5,0),1,0)*Data_NFI_t[[#This Row],[Complementary Kit]],0)</f>
        <v>0</v>
      </c>
      <c r="AB387" s="131">
        <f>IF(NFI_Expiration=1,IF($A387&lt;VLOOKUP(Q$5,NFI,5,0),1,0)*Data_NFI_t[[#This Row],[Plastic Bucket]],0)</f>
        <v>0</v>
      </c>
      <c r="AC387" s="131">
        <f>IF(NFI_Expiration=1,IF($A387&lt;VLOOKUP(R$5,NFI,5,0),1,0)*Data_NFI_t[[#This Row],[Jerry Can]],0)</f>
        <v>0</v>
      </c>
      <c r="AD387" s="150">
        <f>IF(NFI_Expiration=1,IF($A387&lt;VLOOKUP(S$5,NFI,5,0),1,0)*Data_NFI_t[[#This Row],[Plastic Mat]],0)*IF(Data_NFI_t[[#This Row],[Distribution Date]]&gt;"01-04-2014",1,2.5)</f>
        <v>0</v>
      </c>
      <c r="AE387" s="150" t="str">
        <f ca="1">IFERROR(OFFSET(Camp_List[P_Code],MATCH(Data_NFI_t[[#This Row],[Camp Name]],Camp_List[Camp Name],0)-1,0,1,1),"")</f>
        <v/>
      </c>
      <c r="AF387" s="714" t="str">
        <f ca="1">IFERROR(OFFSET(Camp_List[Status],MATCH(Data_NFI_t[[#This Row],[Camp Name]],Camp_List[Camp Name],0)-1,0,1,1),"")</f>
        <v/>
      </c>
    </row>
    <row r="388" spans="1:32" s="102" customFormat="1" ht="15" customHeight="1" x14ac:dyDescent="0.25">
      <c r="A388" s="265">
        <f t="shared" si="5"/>
        <v>41.733333333333334</v>
      </c>
      <c r="B388" s="265">
        <f>YEAR(Data_NFI_t[[#This Row],[Distribution Date]])</f>
        <v>2012</v>
      </c>
      <c r="C388" s="738">
        <v>41087</v>
      </c>
      <c r="D388" s="655" t="s">
        <v>288</v>
      </c>
      <c r="E388" s="654"/>
      <c r="F388" s="655" t="s">
        <v>7</v>
      </c>
      <c r="G388" s="31" t="s">
        <v>19</v>
      </c>
      <c r="H388" s="31" t="s">
        <v>250</v>
      </c>
      <c r="I388" s="31"/>
      <c r="J388" s="61"/>
      <c r="K388" s="61"/>
      <c r="L388" s="61"/>
      <c r="M388" s="61">
        <v>200</v>
      </c>
      <c r="N388" s="61"/>
      <c r="O388" s="61"/>
      <c r="P388" s="61"/>
      <c r="Q388" s="61"/>
      <c r="R388" s="708"/>
      <c r="S388" s="61"/>
      <c r="T388" s="150">
        <f>IF(NFI_Expiration=1,IF($A388&lt;VLOOKUP(I$5,NFI,5,0),1,0)*Data_NFI_t[[#This Row],[Hygiene Kit]],0)</f>
        <v>0</v>
      </c>
      <c r="U388" s="150">
        <f>IF(NFI_Expiration=1,IF($A388&lt;VLOOKUP(J$5,NFI,5,0),1,0)*Data_NFI_t[[#This Row],[NFI Core Kit]],0)</f>
        <v>0</v>
      </c>
      <c r="V388" s="131">
        <f>IF(NFI_Expiration=1,IF($A388&lt;VLOOKUP(K$5,NFI,5,0),1,0)*Data_NFI_t[[#This Row],[Sanitary Kit]],0)</f>
        <v>0</v>
      </c>
      <c r="W388" s="131">
        <f>IF(NFI_Expiration=1,IF($A388&lt;VLOOKUP(L$5,NFI,5,0),1,0)*Data_NFI_t[[#This Row],[Mosquito net]],0)</f>
        <v>0</v>
      </c>
      <c r="X388" s="131">
        <f>IF(NFI_Expiration=1,IF($A388&lt;VLOOKUP(M$5,NFI,5,0),1,0)*Data_NFI_t[[#This Row],[Tarpaulin]],0)</f>
        <v>0</v>
      </c>
      <c r="Y388" s="131">
        <f>IF(NFI_Expiration=1,IF($A388&lt;VLOOKUP(N$5,NFI,5,0),1,0)*Data_NFI_t[[#This Row],[Blanket]],0)</f>
        <v>0</v>
      </c>
      <c r="Z388" s="131">
        <f>IF(NFI_Expiration=1,IF($A388&lt;VLOOKUP(O$5,NFI,5,0),1,0)*Data_NFI_t[[#This Row],[Kitchen Set]],0)</f>
        <v>0</v>
      </c>
      <c r="AA388" s="131">
        <f>IF(NFI_Expiration=1,IF($A388&lt;VLOOKUP(P$5,NFI,5,0),1,0)*Data_NFI_t[[#This Row],[Complementary Kit]],0)</f>
        <v>0</v>
      </c>
      <c r="AB388" s="131">
        <f>IF(NFI_Expiration=1,IF($A388&lt;VLOOKUP(Q$5,NFI,5,0),1,0)*Data_NFI_t[[#This Row],[Plastic Bucket]],0)</f>
        <v>0</v>
      </c>
      <c r="AC388" s="131">
        <f>IF(NFI_Expiration=1,IF($A388&lt;VLOOKUP(R$5,NFI,5,0),1,0)*Data_NFI_t[[#This Row],[Jerry Can]],0)</f>
        <v>0</v>
      </c>
      <c r="AD388" s="150">
        <f>IF(NFI_Expiration=1,IF($A388&lt;VLOOKUP(S$5,NFI,5,0),1,0)*Data_NFI_t[[#This Row],[Plastic Mat]],0)*IF(Data_NFI_t[[#This Row],[Distribution Date]]&gt;"01-04-2014",1,2.5)</f>
        <v>0</v>
      </c>
      <c r="AE388" s="150" t="str">
        <f ca="1">IFERROR(OFFSET(Camp_List[P_Code],MATCH(Data_NFI_t[[#This Row],[Camp Name]],Camp_List[Camp Name],0)-1,0,1,1),"")</f>
        <v/>
      </c>
      <c r="AF388" s="714" t="str">
        <f ca="1">IFERROR(OFFSET(Camp_List[Status],MATCH(Data_NFI_t[[#This Row],[Camp Name]],Camp_List[Camp Name],0)-1,0,1,1),"")</f>
        <v/>
      </c>
    </row>
    <row r="389" spans="1:32" s="102" customFormat="1" ht="15" customHeight="1" x14ac:dyDescent="0.25">
      <c r="A389" s="265">
        <f t="shared" si="5"/>
        <v>5.6333333333333337</v>
      </c>
      <c r="B389" s="265">
        <v>2015</v>
      </c>
      <c r="C389" s="738">
        <v>42170</v>
      </c>
      <c r="D389" s="655" t="s">
        <v>288</v>
      </c>
      <c r="E389" s="654" t="s">
        <v>990</v>
      </c>
      <c r="F389" s="655" t="s">
        <v>7</v>
      </c>
      <c r="G389" s="31" t="s">
        <v>16</v>
      </c>
      <c r="H389" s="31" t="s">
        <v>57</v>
      </c>
      <c r="I389" s="31">
        <v>0</v>
      </c>
      <c r="J389" s="61">
        <v>0</v>
      </c>
      <c r="K389" s="61">
        <v>0</v>
      </c>
      <c r="L389" s="61">
        <v>0</v>
      </c>
      <c r="M389" s="61">
        <v>10</v>
      </c>
      <c r="N389" s="61">
        <v>0</v>
      </c>
      <c r="O389" s="61">
        <v>0</v>
      </c>
      <c r="P389" s="61">
        <v>0</v>
      </c>
      <c r="Q389" s="61">
        <v>0</v>
      </c>
      <c r="R389" s="708">
        <v>0</v>
      </c>
      <c r="S389" s="61">
        <v>0</v>
      </c>
      <c r="T389" s="150">
        <f>IF(NFI_Expiration=1,IF($A389&lt;VLOOKUP(I$5,NFI,5,0),1,0)*Data_NFI_t[[#This Row],[Hygiene Kit]],0)</f>
        <v>0</v>
      </c>
      <c r="U389" s="150">
        <f>IF(NFI_Expiration=1,IF($A389&lt;VLOOKUP(J$5,NFI,5,0),1,0)*Data_NFI_t[[#This Row],[NFI Core Kit]],0)</f>
        <v>0</v>
      </c>
      <c r="V389" s="131">
        <f>IF(NFI_Expiration=1,IF($A389&lt;VLOOKUP(K$5,NFI,5,0),1,0)*Data_NFI_t[[#This Row],[Sanitary Kit]],0)</f>
        <v>0</v>
      </c>
      <c r="W389" s="131">
        <f>IF(NFI_Expiration=1,IF($A389&lt;VLOOKUP(L$5,NFI,5,0),1,0)*Data_NFI_t[[#This Row],[Mosquito net]],0)</f>
        <v>0</v>
      </c>
      <c r="X389" s="131">
        <f>IF(NFI_Expiration=1,IF($A389&lt;VLOOKUP(M$5,NFI,5,0),1,0)*Data_NFI_t[[#This Row],[Tarpaulin]],0)</f>
        <v>10</v>
      </c>
      <c r="Y389" s="131">
        <f>IF(NFI_Expiration=1,IF($A389&lt;VLOOKUP(N$5,NFI,5,0),1,0)*Data_NFI_t[[#This Row],[Blanket]],0)</f>
        <v>0</v>
      </c>
      <c r="Z389" s="131">
        <f>IF(NFI_Expiration=1,IF($A389&lt;VLOOKUP(O$5,NFI,5,0),1,0)*Data_NFI_t[[#This Row],[Kitchen Set]],0)</f>
        <v>0</v>
      </c>
      <c r="AA389" s="131">
        <f>IF(NFI_Expiration=1,IF($A389&lt;VLOOKUP(P$5,NFI,5,0),1,0)*Data_NFI_t[[#This Row],[Complementary Kit]],0)</f>
        <v>0</v>
      </c>
      <c r="AB389" s="131">
        <f>IF(NFI_Expiration=1,IF($A389&lt;VLOOKUP(Q$5,NFI,5,0),1,0)*Data_NFI_t[[#This Row],[Plastic Bucket]],0)</f>
        <v>0</v>
      </c>
      <c r="AC389" s="131">
        <f>IF(NFI_Expiration=1,IF($A389&lt;VLOOKUP(R$5,NFI,5,0),1,0)*Data_NFI_t[[#This Row],[Jerry Can]],0)</f>
        <v>0</v>
      </c>
      <c r="AD389" s="150">
        <f>IF(NFI_Expiration=1,IF($A389&lt;VLOOKUP(S$5,NFI,5,0),1,0)*Data_NFI_t[[#This Row],[Plastic Mat]],0)*IF(Data_NFI_t[[#This Row],[Distribution Date]]&gt;"01-04-2014",1,2.5)</f>
        <v>0</v>
      </c>
      <c r="AE389" s="150" t="str">
        <f ca="1">IFERROR(OFFSET(Camp_List[P_Code],MATCH(Data_NFI_t[[#This Row],[Camp Name]],Camp_List[Camp Name],0)-1,0,1,1),"")</f>
        <v>MMR012CMP034</v>
      </c>
      <c r="AF389" s="714" t="str">
        <f ca="1">IFERROR(OFFSET(Camp_List[Status],MATCH(Data_NFI_t[[#This Row],[Camp Name]],Camp_List[Camp Name],0)-1,0,1,1),"")</f>
        <v>Open</v>
      </c>
    </row>
    <row r="390" spans="1:32" s="102" customFormat="1" ht="15" customHeight="1" x14ac:dyDescent="0.25">
      <c r="A390" s="265">
        <f>IF(ISBLANK(C390),"",(Report_Date-C390)/30)</f>
        <v>4.3666666666666663</v>
      </c>
      <c r="B390" s="265">
        <v>2015</v>
      </c>
      <c r="C390" s="738">
        <v>42208</v>
      </c>
      <c r="D390" s="655" t="s">
        <v>288</v>
      </c>
      <c r="E390" s="654" t="s">
        <v>288</v>
      </c>
      <c r="F390" s="655" t="s">
        <v>7</v>
      </c>
      <c r="G390" s="31" t="s">
        <v>16</v>
      </c>
      <c r="H390" s="31" t="s">
        <v>410</v>
      </c>
      <c r="I390" s="31">
        <v>0</v>
      </c>
      <c r="J390" s="61">
        <v>0</v>
      </c>
      <c r="K390" s="61">
        <v>0</v>
      </c>
      <c r="L390" s="61">
        <v>0</v>
      </c>
      <c r="M390" s="61">
        <v>217</v>
      </c>
      <c r="N390" s="61">
        <v>0</v>
      </c>
      <c r="O390" s="61">
        <v>0</v>
      </c>
      <c r="P390" s="61">
        <v>0</v>
      </c>
      <c r="Q390" s="61">
        <v>0</v>
      </c>
      <c r="R390" s="708">
        <v>0</v>
      </c>
      <c r="S390" s="61">
        <v>0</v>
      </c>
      <c r="T390" s="150">
        <f>IF(NFI_Expiration=1,IF($A390&lt;VLOOKUP(I$5,NFI,5,0),1,0)*Data_NFI_t[[#This Row],[Hygiene Kit]],0)</f>
        <v>0</v>
      </c>
      <c r="U390" s="150">
        <f>IF(NFI_Expiration=1,IF($A390&lt;VLOOKUP(J$5,NFI,5,0),1,0)*Data_NFI_t[[#This Row],[NFI Core Kit]],0)</f>
        <v>0</v>
      </c>
      <c r="V390" s="131">
        <f>IF(NFI_Expiration=1,IF($A390&lt;VLOOKUP(K$5,NFI,5,0),1,0)*Data_NFI_t[[#This Row],[Sanitary Kit]],0)</f>
        <v>0</v>
      </c>
      <c r="W390" s="131">
        <f>IF(NFI_Expiration=1,IF($A390&lt;VLOOKUP(L$5,NFI,5,0),1,0)*Data_NFI_t[[#This Row],[Mosquito net]],0)</f>
        <v>0</v>
      </c>
      <c r="X390" s="131">
        <f>IF(NFI_Expiration=1,IF($A390&lt;VLOOKUP(M$5,NFI,5,0),1,0)*Data_NFI_t[[#This Row],[Tarpaulin]],0)</f>
        <v>217</v>
      </c>
      <c r="Y390" s="131">
        <f>IF(NFI_Expiration=1,IF($A390&lt;VLOOKUP(N$5,NFI,5,0),1,0)*Data_NFI_t[[#This Row],[Blanket]],0)</f>
        <v>0</v>
      </c>
      <c r="Z390" s="131">
        <f>IF(NFI_Expiration=1,IF($A390&lt;VLOOKUP(O$5,NFI,5,0),1,0)*Data_NFI_t[[#This Row],[Kitchen Set]],0)</f>
        <v>0</v>
      </c>
      <c r="AA390" s="131">
        <f>IF(NFI_Expiration=1,IF($A390&lt;VLOOKUP(P$5,NFI,5,0),1,0)*Data_NFI_t[[#This Row],[Complementary Kit]],0)</f>
        <v>0</v>
      </c>
      <c r="AB390" s="131">
        <f>IF(NFI_Expiration=1,IF($A390&lt;VLOOKUP(Q$5,NFI,5,0),1,0)*Data_NFI_t[[#This Row],[Plastic Bucket]],0)</f>
        <v>0</v>
      </c>
      <c r="AC390" s="131">
        <f>IF(NFI_Expiration=1,IF($A390&lt;VLOOKUP(R$5,NFI,5,0),1,0)*Data_NFI_t[[#This Row],[Jerry Can]],0)</f>
        <v>0</v>
      </c>
      <c r="AD390" s="150">
        <f>IF(NFI_Expiration=1,IF($A390&lt;VLOOKUP(S$5,NFI,5,0),1,0)*Data_NFI_t[[#This Row],[Plastic Mat]],0)*IF(Data_NFI_t[[#This Row],[Distribution Date]]&gt;"01-04-2014",1,2.5)</f>
        <v>0</v>
      </c>
      <c r="AE390" s="150" t="str">
        <f ca="1">IFERROR(OFFSET(Camp_List[P_Code],MATCH(Data_NFI_t[[#This Row],[Camp Name]],Camp_List[Camp Name],0)-1,0,1,1),"")</f>
        <v>MMR012CMP110</v>
      </c>
      <c r="AF390" s="714" t="str">
        <f ca="1">IFERROR(OFFSET(Camp_List[Status],MATCH(Data_NFI_t[[#This Row],[Camp Name]],Camp_List[Camp Name],0)-1,0,1,1),"")</f>
        <v>Open</v>
      </c>
    </row>
    <row r="391" spans="1:32" s="102" customFormat="1" ht="15" customHeight="1" x14ac:dyDescent="0.25">
      <c r="A391" s="265">
        <f>IF(ISBLANK(C391),"",(Report_Date-C391)/30)</f>
        <v>4.3666666666666663</v>
      </c>
      <c r="B391" s="265">
        <v>2015</v>
      </c>
      <c r="C391" s="738">
        <v>42208</v>
      </c>
      <c r="D391" s="655" t="s">
        <v>288</v>
      </c>
      <c r="E391" s="654" t="s">
        <v>288</v>
      </c>
      <c r="F391" s="655" t="s">
        <v>7</v>
      </c>
      <c r="G391" s="31" t="s">
        <v>16</v>
      </c>
      <c r="H391" s="31" t="s">
        <v>624</v>
      </c>
      <c r="I391" s="31">
        <v>0</v>
      </c>
      <c r="J391" s="61">
        <v>0</v>
      </c>
      <c r="K391" s="61">
        <v>0</v>
      </c>
      <c r="L391" s="61">
        <v>0</v>
      </c>
      <c r="M391" s="61">
        <v>167</v>
      </c>
      <c r="N391" s="61">
        <v>0</v>
      </c>
      <c r="O391" s="61">
        <v>0</v>
      </c>
      <c r="P391" s="61">
        <v>0</v>
      </c>
      <c r="Q391" s="61">
        <v>0</v>
      </c>
      <c r="R391" s="708">
        <v>0</v>
      </c>
      <c r="S391" s="61">
        <v>0</v>
      </c>
      <c r="T391" s="150">
        <f>IF(NFI_Expiration=1,IF($A391&lt;VLOOKUP(I$5,NFI,5,0),1,0)*Data_NFI_t[[#This Row],[Hygiene Kit]],0)</f>
        <v>0</v>
      </c>
      <c r="U391" s="150">
        <f>IF(NFI_Expiration=1,IF($A391&lt;VLOOKUP(J$5,NFI,5,0),1,0)*Data_NFI_t[[#This Row],[NFI Core Kit]],0)</f>
        <v>0</v>
      </c>
      <c r="V391" s="131">
        <f>IF(NFI_Expiration=1,IF($A391&lt;VLOOKUP(K$5,NFI,5,0),1,0)*Data_NFI_t[[#This Row],[Sanitary Kit]],0)</f>
        <v>0</v>
      </c>
      <c r="W391" s="131">
        <f>IF(NFI_Expiration=1,IF($A391&lt;VLOOKUP(L$5,NFI,5,0),1,0)*Data_NFI_t[[#This Row],[Mosquito net]],0)</f>
        <v>0</v>
      </c>
      <c r="X391" s="131">
        <f>IF(NFI_Expiration=1,IF($A391&lt;VLOOKUP(M$5,NFI,5,0),1,0)*Data_NFI_t[[#This Row],[Tarpaulin]],0)</f>
        <v>167</v>
      </c>
      <c r="Y391" s="131">
        <f>IF(NFI_Expiration=1,IF($A391&lt;VLOOKUP(N$5,NFI,5,0),1,0)*Data_NFI_t[[#This Row],[Blanket]],0)</f>
        <v>0</v>
      </c>
      <c r="Z391" s="131">
        <f>IF(NFI_Expiration=1,IF($A391&lt;VLOOKUP(O$5,NFI,5,0),1,0)*Data_NFI_t[[#This Row],[Kitchen Set]],0)</f>
        <v>0</v>
      </c>
      <c r="AA391" s="131">
        <f>IF(NFI_Expiration=1,IF($A391&lt;VLOOKUP(P$5,NFI,5,0),1,0)*Data_NFI_t[[#This Row],[Complementary Kit]],0)</f>
        <v>0</v>
      </c>
      <c r="AB391" s="131">
        <f>IF(NFI_Expiration=1,IF($A391&lt;VLOOKUP(Q$5,NFI,5,0),1,0)*Data_NFI_t[[#This Row],[Plastic Bucket]],0)</f>
        <v>0</v>
      </c>
      <c r="AC391" s="131">
        <f>IF(NFI_Expiration=1,IF($A391&lt;VLOOKUP(R$5,NFI,5,0),1,0)*Data_NFI_t[[#This Row],[Jerry Can]],0)</f>
        <v>0</v>
      </c>
      <c r="AD391" s="150">
        <f>IF(NFI_Expiration=1,IF($A391&lt;VLOOKUP(S$5,NFI,5,0),1,0)*Data_NFI_t[[#This Row],[Plastic Mat]],0)*IF(Data_NFI_t[[#This Row],[Distribution Date]]&gt;"01-04-2014",1,2.5)</f>
        <v>0</v>
      </c>
      <c r="AE391" s="150" t="str">
        <f ca="1">IFERROR(OFFSET(Camp_List[P_Code],MATCH(Data_NFI_t[[#This Row],[Camp Name]],Camp_List[Camp Name],0)-1,0,1,1),"")</f>
        <v>MMR012CMP033</v>
      </c>
      <c r="AF391" s="714" t="str">
        <f ca="1">IFERROR(OFFSET(Camp_List[Status],MATCH(Data_NFI_t[[#This Row],[Camp Name]],Camp_List[Camp Name],0)-1,0,1,1),"")</f>
        <v>Open</v>
      </c>
    </row>
    <row r="392" spans="1:32" s="102" customFormat="1" ht="15" customHeight="1" x14ac:dyDescent="0.25">
      <c r="A392" s="265">
        <f>IF(ISBLANK(C392),"",(Report_Date-C392)/30)</f>
        <v>2.5</v>
      </c>
      <c r="B392" s="265">
        <v>2015</v>
      </c>
      <c r="C392" s="738">
        <v>42264</v>
      </c>
      <c r="D392" s="655" t="s">
        <v>288</v>
      </c>
      <c r="E392" s="654" t="s">
        <v>990</v>
      </c>
      <c r="F392" s="655" t="s">
        <v>7</v>
      </c>
      <c r="G392" s="31" t="s">
        <v>16</v>
      </c>
      <c r="H392" s="31" t="s">
        <v>624</v>
      </c>
      <c r="I392" s="31">
        <v>0</v>
      </c>
      <c r="J392" s="61">
        <v>0</v>
      </c>
      <c r="K392" s="61">
        <v>0</v>
      </c>
      <c r="L392" s="61">
        <v>0</v>
      </c>
      <c r="M392" s="61">
        <v>10</v>
      </c>
      <c r="N392" s="61">
        <v>0</v>
      </c>
      <c r="O392" s="61">
        <v>0</v>
      </c>
      <c r="P392" s="61">
        <v>0</v>
      </c>
      <c r="Q392" s="61">
        <v>0</v>
      </c>
      <c r="R392" s="708">
        <v>0</v>
      </c>
      <c r="S392" s="61">
        <v>0</v>
      </c>
      <c r="T392" s="150">
        <f>IF(NFI_Expiration=1,IF($A392&lt;VLOOKUP(I$5,NFI,5,0),1,0)*Data_NFI_t[[#This Row],[Hygiene Kit]],0)</f>
        <v>0</v>
      </c>
      <c r="U392" s="150">
        <f>IF(NFI_Expiration=1,IF($A392&lt;VLOOKUP(J$5,NFI,5,0),1,0)*Data_NFI_t[[#This Row],[NFI Core Kit]],0)</f>
        <v>0</v>
      </c>
      <c r="V392" s="131">
        <f>IF(NFI_Expiration=1,IF($A392&lt;VLOOKUP(K$5,NFI,5,0),1,0)*Data_NFI_t[[#This Row],[Sanitary Kit]],0)</f>
        <v>0</v>
      </c>
      <c r="W392" s="131">
        <f>IF(NFI_Expiration=1,IF($A392&lt;VLOOKUP(L$5,NFI,5,0),1,0)*Data_NFI_t[[#This Row],[Mosquito net]],0)</f>
        <v>0</v>
      </c>
      <c r="X392" s="131">
        <f>IF(NFI_Expiration=1,IF($A392&lt;VLOOKUP(M$5,NFI,5,0),1,0)*Data_NFI_t[[#This Row],[Tarpaulin]],0)</f>
        <v>10</v>
      </c>
      <c r="Y392" s="131">
        <f>IF(NFI_Expiration=1,IF($A392&lt;VLOOKUP(N$5,NFI,5,0),1,0)*Data_NFI_t[[#This Row],[Blanket]],0)</f>
        <v>0</v>
      </c>
      <c r="Z392" s="131">
        <f>IF(NFI_Expiration=1,IF($A392&lt;VLOOKUP(O$5,NFI,5,0),1,0)*Data_NFI_t[[#This Row],[Kitchen Set]],0)</f>
        <v>0</v>
      </c>
      <c r="AA392" s="131">
        <f>IF(NFI_Expiration=1,IF($A392&lt;VLOOKUP(P$5,NFI,5,0),1,0)*Data_NFI_t[[#This Row],[Complementary Kit]],0)</f>
        <v>0</v>
      </c>
      <c r="AB392" s="131">
        <f>IF(NFI_Expiration=1,IF($A392&lt;VLOOKUP(Q$5,NFI,5,0),1,0)*Data_NFI_t[[#This Row],[Plastic Bucket]],0)</f>
        <v>0</v>
      </c>
      <c r="AC392" s="131">
        <f>IF(NFI_Expiration=1,IF($A392&lt;VLOOKUP(R$5,NFI,5,0),1,0)*Data_NFI_t[[#This Row],[Jerry Can]],0)</f>
        <v>0</v>
      </c>
      <c r="AD392" s="150">
        <f>IF(NFI_Expiration=1,IF($A392&lt;VLOOKUP(S$5,NFI,5,0),1,0)*Data_NFI_t[[#This Row],[Plastic Mat]],0)*IF(Data_NFI_t[[#This Row],[Distribution Date]]&gt;"01-04-2014",1,2.5)</f>
        <v>0</v>
      </c>
      <c r="AE392" s="150" t="str">
        <f ca="1">IFERROR(OFFSET(Camp_List[P_Code],MATCH(Data_NFI_t[[#This Row],[Camp Name]],Camp_List[Camp Name],0)-1,0,1,1),"")</f>
        <v>MMR012CMP033</v>
      </c>
      <c r="AF392" s="714" t="str">
        <f ca="1">IFERROR(OFFSET(Camp_List[Status],MATCH(Data_NFI_t[[#This Row],[Camp Name]],Camp_List[Camp Name],0)-1,0,1,1),"")</f>
        <v>Open</v>
      </c>
    </row>
    <row r="393" spans="1:32" s="102" customFormat="1" ht="15" customHeight="1" x14ac:dyDescent="0.25">
      <c r="A393" s="265">
        <f>IF(ISBLANK(C393),"",(Report_Date-C393)/30)</f>
        <v>1.1666666666666667</v>
      </c>
      <c r="B393" s="265">
        <v>2015</v>
      </c>
      <c r="C393" s="738">
        <v>42304</v>
      </c>
      <c r="D393" s="655" t="s">
        <v>288</v>
      </c>
      <c r="E393" s="654" t="s">
        <v>990</v>
      </c>
      <c r="F393" s="655" t="s">
        <v>7</v>
      </c>
      <c r="G393" s="31" t="s">
        <v>16</v>
      </c>
      <c r="H393" s="31" t="s">
        <v>56</v>
      </c>
      <c r="I393" s="31">
        <v>0</v>
      </c>
      <c r="J393" s="61">
        <v>0</v>
      </c>
      <c r="K393" s="61">
        <v>0</v>
      </c>
      <c r="L393" s="61">
        <v>0</v>
      </c>
      <c r="M393" s="61">
        <v>5</v>
      </c>
      <c r="N393" s="61">
        <v>0</v>
      </c>
      <c r="O393" s="61">
        <v>0</v>
      </c>
      <c r="P393" s="61">
        <v>0</v>
      </c>
      <c r="Q393" s="61">
        <v>0</v>
      </c>
      <c r="R393" s="708">
        <v>0</v>
      </c>
      <c r="S393" s="61">
        <v>0</v>
      </c>
      <c r="T393" s="150">
        <f>IF(NFI_Expiration=1,IF($A393&lt;VLOOKUP(I$5,NFI,5,0),1,0)*Data_NFI_t[[#This Row],[Hygiene Kit]],0)</f>
        <v>0</v>
      </c>
      <c r="U393" s="150">
        <f>IF(NFI_Expiration=1,IF($A393&lt;VLOOKUP(J$5,NFI,5,0),1,0)*Data_NFI_t[[#This Row],[NFI Core Kit]],0)</f>
        <v>0</v>
      </c>
      <c r="V393" s="131">
        <f>IF(NFI_Expiration=1,IF($A393&lt;VLOOKUP(K$5,NFI,5,0),1,0)*Data_NFI_t[[#This Row],[Sanitary Kit]],0)</f>
        <v>0</v>
      </c>
      <c r="W393" s="131">
        <f>IF(NFI_Expiration=1,IF($A393&lt;VLOOKUP(L$5,NFI,5,0),1,0)*Data_NFI_t[[#This Row],[Mosquito net]],0)</f>
        <v>0</v>
      </c>
      <c r="X393" s="131">
        <f>IF(NFI_Expiration=1,IF($A393&lt;VLOOKUP(M$5,NFI,5,0),1,0)*Data_NFI_t[[#This Row],[Tarpaulin]],0)</f>
        <v>5</v>
      </c>
      <c r="Y393" s="131">
        <f>IF(NFI_Expiration=1,IF($A393&lt;VLOOKUP(N$5,NFI,5,0),1,0)*Data_NFI_t[[#This Row],[Blanket]],0)</f>
        <v>0</v>
      </c>
      <c r="Z393" s="131">
        <f>IF(NFI_Expiration=1,IF($A393&lt;VLOOKUP(O$5,NFI,5,0),1,0)*Data_NFI_t[[#This Row],[Kitchen Set]],0)</f>
        <v>0</v>
      </c>
      <c r="AA393" s="131">
        <f>IF(NFI_Expiration=1,IF($A393&lt;VLOOKUP(P$5,NFI,5,0),1,0)*Data_NFI_t[[#This Row],[Complementary Kit]],0)</f>
        <v>0</v>
      </c>
      <c r="AB393" s="131">
        <f>IF(NFI_Expiration=1,IF($A393&lt;VLOOKUP(Q$5,NFI,5,0),1,0)*Data_NFI_t[[#This Row],[Plastic Bucket]],0)</f>
        <v>0</v>
      </c>
      <c r="AC393" s="131">
        <f>IF(NFI_Expiration=1,IF($A393&lt;VLOOKUP(R$5,NFI,5,0),1,0)*Data_NFI_t[[#This Row],[Jerry Can]],0)</f>
        <v>0</v>
      </c>
      <c r="AD393" s="150">
        <f>IF(NFI_Expiration=1,IF($A393&lt;VLOOKUP(S$5,NFI,5,0),1,0)*Data_NFI_t[[#This Row],[Plastic Mat]],0)*IF(Data_NFI_t[[#This Row],[Distribution Date]]&gt;"01-04-2014",1,2.5)</f>
        <v>0</v>
      </c>
      <c r="AE393" s="150" t="str">
        <f ca="1">IFERROR(OFFSET(Camp_List[P_Code],MATCH(Data_NFI_t[[#This Row],[Camp Name]],Camp_List[Camp Name],0)-1,0,1,1),"")</f>
        <v>MMR012CMP032</v>
      </c>
      <c r="AF393" s="714" t="str">
        <f ca="1">IFERROR(OFFSET(Camp_List[Status],MATCH(Data_NFI_t[[#This Row],[Camp Name]],Camp_List[Camp Name],0)-1,0,1,1),"")</f>
        <v>Open</v>
      </c>
    </row>
    <row r="394" spans="1:32" s="102" customFormat="1" ht="15" customHeight="1" x14ac:dyDescent="0.25">
      <c r="A394" s="265">
        <f>IF(ISBLANK(C394),"",(Report_Date-C394)/30)</f>
        <v>0.93333333333333335</v>
      </c>
      <c r="B394" s="265">
        <v>2015</v>
      </c>
      <c r="C394" s="738">
        <v>42311</v>
      </c>
      <c r="D394" s="655" t="s">
        <v>288</v>
      </c>
      <c r="E394" s="654" t="s">
        <v>990</v>
      </c>
      <c r="F394" s="655" t="s">
        <v>7</v>
      </c>
      <c r="G394" s="31" t="s">
        <v>16</v>
      </c>
      <c r="H394" s="31" t="s">
        <v>57</v>
      </c>
      <c r="I394" s="31">
        <v>0</v>
      </c>
      <c r="J394" s="61">
        <v>0</v>
      </c>
      <c r="K394" s="61">
        <v>0</v>
      </c>
      <c r="L394" s="61">
        <v>0</v>
      </c>
      <c r="M394" s="61">
        <v>7</v>
      </c>
      <c r="N394" s="61">
        <v>0</v>
      </c>
      <c r="O394" s="61">
        <v>0</v>
      </c>
      <c r="P394" s="61">
        <v>0</v>
      </c>
      <c r="Q394" s="61">
        <v>0</v>
      </c>
      <c r="R394" s="708">
        <v>0</v>
      </c>
      <c r="S394" s="61">
        <v>0</v>
      </c>
      <c r="T394" s="150">
        <f>IF(NFI_Expiration=1,IF($A394&lt;VLOOKUP(I$5,NFI,5,0),1,0)*Data_NFI_t[[#This Row],[Hygiene Kit]],0)</f>
        <v>0</v>
      </c>
      <c r="U394" s="150">
        <f>IF(NFI_Expiration=1,IF($A394&lt;VLOOKUP(J$5,NFI,5,0),1,0)*Data_NFI_t[[#This Row],[NFI Core Kit]],0)</f>
        <v>0</v>
      </c>
      <c r="V394" s="131">
        <f>IF(NFI_Expiration=1,IF($A394&lt;VLOOKUP(K$5,NFI,5,0),1,0)*Data_NFI_t[[#This Row],[Sanitary Kit]],0)</f>
        <v>0</v>
      </c>
      <c r="W394" s="131">
        <f>IF(NFI_Expiration=1,IF($A394&lt;VLOOKUP(L$5,NFI,5,0),1,0)*Data_NFI_t[[#This Row],[Mosquito net]],0)</f>
        <v>0</v>
      </c>
      <c r="X394" s="131">
        <f>IF(NFI_Expiration=1,IF($A394&lt;VLOOKUP(M$5,NFI,5,0),1,0)*Data_NFI_t[[#This Row],[Tarpaulin]],0)</f>
        <v>7</v>
      </c>
      <c r="Y394" s="131">
        <f>IF(NFI_Expiration=1,IF($A394&lt;VLOOKUP(N$5,NFI,5,0),1,0)*Data_NFI_t[[#This Row],[Blanket]],0)</f>
        <v>0</v>
      </c>
      <c r="Z394" s="131">
        <f>IF(NFI_Expiration=1,IF($A394&lt;VLOOKUP(O$5,NFI,5,0),1,0)*Data_NFI_t[[#This Row],[Kitchen Set]],0)</f>
        <v>0</v>
      </c>
      <c r="AA394" s="131">
        <f>IF(NFI_Expiration=1,IF($A394&lt;VLOOKUP(P$5,NFI,5,0),1,0)*Data_NFI_t[[#This Row],[Complementary Kit]],0)</f>
        <v>0</v>
      </c>
      <c r="AB394" s="131">
        <f>IF(NFI_Expiration=1,IF($A394&lt;VLOOKUP(Q$5,NFI,5,0),1,0)*Data_NFI_t[[#This Row],[Plastic Bucket]],0)</f>
        <v>0</v>
      </c>
      <c r="AC394" s="131">
        <f>IF(NFI_Expiration=1,IF($A394&lt;VLOOKUP(R$5,NFI,5,0),1,0)*Data_NFI_t[[#This Row],[Jerry Can]],0)</f>
        <v>0</v>
      </c>
      <c r="AD394" s="150">
        <f>IF(NFI_Expiration=1,IF($A394&lt;VLOOKUP(S$5,NFI,5,0),1,0)*Data_NFI_t[[#This Row],[Plastic Mat]],0)*IF(Data_NFI_t[[#This Row],[Distribution Date]]&gt;"01-04-2014",1,2.5)</f>
        <v>0</v>
      </c>
      <c r="AE394" s="150" t="str">
        <f ca="1">IFERROR(OFFSET(Camp_List[P_Code],MATCH(Data_NFI_t[[#This Row],[Camp Name]],Camp_List[Camp Name],0)-1,0,1,1),"")</f>
        <v>MMR012CMP034</v>
      </c>
      <c r="AF394" s="714" t="str">
        <f ca="1">IFERROR(OFFSET(Camp_List[Status],MATCH(Data_NFI_t[[#This Row],[Camp Name]],Camp_List[Camp Name],0)-1,0,1,1),"")</f>
        <v>Open</v>
      </c>
    </row>
    <row r="395" spans="1:32" x14ac:dyDescent="0.25">
      <c r="A395"/>
      <c r="B395" s="43"/>
      <c r="C395"/>
      <c r="E395" s="137"/>
      <c r="I395" s="137"/>
      <c r="J395" s="138"/>
      <c r="K395" s="138"/>
      <c r="L395" s="138"/>
      <c r="M395" s="138"/>
      <c r="N395" s="138"/>
      <c r="O395" s="138"/>
      <c r="P395" s="138"/>
      <c r="Q395" s="138"/>
      <c r="R395" s="709"/>
      <c r="S395" s="138"/>
      <c r="T395"/>
      <c r="U395"/>
      <c r="V395"/>
      <c r="W395"/>
      <c r="X395"/>
      <c r="Y395"/>
      <c r="Z395"/>
      <c r="AA395"/>
      <c r="AB395"/>
      <c r="AC395" s="102"/>
      <c r="AD395"/>
    </row>
  </sheetData>
  <sortState ref="A5:A1000">
    <sortCondition descending="1" ref="A8"/>
  </sortState>
  <mergeCells count="3">
    <mergeCell ref="A4:D4"/>
    <mergeCell ref="A2:I2"/>
    <mergeCell ref="A3:I3"/>
  </mergeCells>
  <conditionalFormatting sqref="AF395">
    <cfRule type="cellIs" dxfId="296" priority="3" operator="equal">
      <formula>"close"</formula>
    </cfRule>
  </conditionalFormatting>
  <conditionalFormatting sqref="AF6">
    <cfRule type="cellIs" dxfId="295" priority="2" operator="equal">
      <formula>"close"</formula>
    </cfRule>
  </conditionalFormatting>
  <conditionalFormatting sqref="AF7:AF394">
    <cfRule type="cellIs" dxfId="294" priority="1" operator="equal">
      <formula>"close"</formula>
    </cfRule>
  </conditionalFormatting>
  <dataValidations count="5">
    <dataValidation type="list" allowBlank="1" showInputMessage="1" showErrorMessage="1" sqref="D65:D76">
      <formula1>Agency1</formula1>
    </dataValidation>
    <dataValidation type="list" showInputMessage="1" showErrorMessage="1" sqref="JB49 WVN49 WLR49 WBV49 VRZ49 VID49 UYH49 UOL49 UEP49 TUT49 TKX49 TBB49 SRF49 SHJ49 RXN49 RNR49 RDV49 QTZ49 QKD49 QAH49 PQL49 PGP49 OWT49 OMX49 ODB49 NTF49 NJJ49 MZN49 MPR49 MFV49 LVZ49 LMD49 LCH49 KSL49 KIP49 JYT49 JOX49 JFB49 IVF49 ILJ49 IBN49 HRR49 HHV49 GXZ49 GOD49 GEH49 FUL49 FKP49 FAT49 EQX49 EHB49 DXF49 DNJ49 DDN49 CTR49 CJV49 BZZ49 BQD49 BGH49 AWL49 AMP49 ACT49 SX49">
      <formula1>INDIRECT(#REF!)</formula1>
    </dataValidation>
    <dataValidation type="list" allowBlank="1" showInputMessage="1" showErrorMessage="1" sqref="F6:F394">
      <formula1>State</formula1>
    </dataValidation>
    <dataValidation type="list" showInputMessage="1" showErrorMessage="1" sqref="G6:G394">
      <formula1>INDIRECT(F6)</formula1>
    </dataValidation>
    <dataValidation type="list" errorStyle="warning" showInputMessage="1" showErrorMessage="1" sqref="H6:H394">
      <formula1>OFFSET(TCL_T1,MATCH(G6,TCL_T,0)-1,1,COUNTIF(TCL_T,G6),1)</formula1>
    </dataValidation>
  </dataValidations>
  <printOptions gridLines="1"/>
  <pageMargins left="0.25" right="0.25" top="0.75" bottom="0.75" header="0.3" footer="0.3"/>
  <pageSetup paperSize="9" scale="46"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J106"/>
  <sheetViews>
    <sheetView showZeros="0" zoomScale="75" zoomScaleNormal="75" workbookViewId="0">
      <selection activeCell="AG17" sqref="AG17"/>
    </sheetView>
  </sheetViews>
  <sheetFormatPr defaultColWidth="5" defaultRowHeight="51.75" customHeight="1" x14ac:dyDescent="0.25"/>
  <cols>
    <col min="1" max="4" width="11.140625" customWidth="1"/>
    <col min="5" max="5" width="13.42578125" customWidth="1"/>
    <col min="6" max="6" width="15.140625" style="68" hidden="1" customWidth="1"/>
    <col min="7" max="7" width="15.140625" style="1" hidden="1" customWidth="1"/>
    <col min="8" max="8" width="15.140625" style="69" hidden="1" customWidth="1"/>
    <col min="9" max="9" width="15.140625" style="68" hidden="1" customWidth="1"/>
    <col min="10" max="10" width="15.140625" style="1" hidden="1" customWidth="1"/>
    <col min="11" max="11" width="15.140625" style="69" hidden="1" customWidth="1"/>
    <col min="12" max="12" width="15.140625" style="68" hidden="1" customWidth="1"/>
    <col min="13" max="13" width="15.140625" style="1" hidden="1" customWidth="1"/>
    <col min="14" max="14" width="15.140625" style="69" hidden="1" customWidth="1"/>
    <col min="15" max="15" width="11.7109375" style="68" customWidth="1"/>
    <col min="16" max="16" width="10.5703125" style="1" customWidth="1"/>
    <col min="17" max="17" width="6.28515625" style="1" customWidth="1"/>
    <col min="18" max="18" width="10.28515625" style="68" customWidth="1"/>
    <col min="19" max="19" width="10.140625" style="1" customWidth="1"/>
    <col min="20" max="20" width="6.140625" style="69" bestFit="1" customWidth="1"/>
    <col min="21" max="21" width="10.5703125" bestFit="1" customWidth="1"/>
    <col min="22" max="22" width="9.85546875" style="46" customWidth="1"/>
    <col min="23" max="23" width="8.140625" style="46" customWidth="1"/>
    <col min="24" max="24" width="9.140625" style="68" customWidth="1"/>
    <col min="25" max="25" width="9.42578125" style="1" customWidth="1"/>
    <col min="26" max="26" width="6.140625" style="69" bestFit="1" customWidth="1"/>
    <col min="27" max="27" width="10.140625" style="68" bestFit="1" customWidth="1"/>
    <col min="28" max="28" width="10.5703125" style="1" bestFit="1" customWidth="1"/>
    <col min="29" max="29" width="6.140625" style="69" bestFit="1" customWidth="1"/>
    <col min="30" max="30" width="9.7109375" style="68" customWidth="1"/>
    <col min="31" max="31" width="9.42578125" style="1" customWidth="1"/>
    <col min="32" max="32" width="6.140625" style="69" customWidth="1"/>
    <col min="33" max="33" width="9.7109375" style="68" customWidth="1"/>
    <col min="34" max="34" width="9.7109375" style="1" customWidth="1"/>
    <col min="35" max="35" width="9.7109375" style="69" customWidth="1"/>
    <col min="36" max="36" width="9.7109375" style="68" customWidth="1"/>
    <col min="37" max="37" width="9.42578125" style="1" customWidth="1"/>
    <col min="38" max="38" width="6.140625" style="69" customWidth="1"/>
  </cols>
  <sheetData>
    <row r="1" spans="1:62" s="1" customFormat="1" ht="36" x14ac:dyDescent="0.25">
      <c r="A1" s="207"/>
      <c r="B1" s="208"/>
      <c r="C1" s="208"/>
      <c r="D1" s="208"/>
      <c r="E1" s="208"/>
      <c r="F1" s="208"/>
      <c r="G1" s="208"/>
      <c r="H1" s="208"/>
      <c r="I1" s="266"/>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24"/>
      <c r="BI1" s="80"/>
      <c r="BJ1" s="80"/>
    </row>
    <row r="2" spans="1:62" s="1" customFormat="1" ht="86.25" customHeight="1" x14ac:dyDescent="0.25">
      <c r="A2" s="267" t="s">
        <v>537</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232"/>
      <c r="BI2" s="80"/>
      <c r="BJ2" s="80"/>
    </row>
    <row r="3" spans="1:62" s="21" customFormat="1" ht="18" customHeight="1" x14ac:dyDescent="0.25">
      <c r="A3" s="768">
        <f>Report_Date</f>
        <v>42339</v>
      </c>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226"/>
      <c r="AH3" s="226"/>
      <c r="AI3" s="226"/>
      <c r="AJ3" s="226"/>
      <c r="AK3" s="226"/>
      <c r="AL3" s="227"/>
      <c r="BI3" s="81"/>
      <c r="BJ3" s="81"/>
    </row>
    <row r="4" spans="1:62" s="70" customFormat="1" ht="15.75" customHeight="1" thickBot="1" x14ac:dyDescent="0.3">
      <c r="AA4" s="102"/>
      <c r="AB4" s="102"/>
      <c r="AC4" s="102"/>
      <c r="AD4" s="102"/>
      <c r="AE4" s="102"/>
      <c r="AF4" s="102"/>
      <c r="AG4" s="102"/>
      <c r="AH4" s="102"/>
      <c r="AI4" s="102"/>
      <c r="AJ4" s="102"/>
      <c r="AK4" s="102"/>
      <c r="AL4" s="102"/>
    </row>
    <row r="5" spans="1:62" s="62" customFormat="1" ht="51.75" customHeight="1" thickBot="1" x14ac:dyDescent="0.3">
      <c r="A5" s="827" t="s">
        <v>209</v>
      </c>
      <c r="B5" s="827" t="s">
        <v>202</v>
      </c>
      <c r="C5" s="268"/>
      <c r="D5" s="827" t="s">
        <v>10</v>
      </c>
      <c r="E5" s="827" t="s">
        <v>1</v>
      </c>
      <c r="F5" s="838" t="s">
        <v>203</v>
      </c>
      <c r="G5" s="839"/>
      <c r="H5" s="840"/>
      <c r="I5" s="841" t="s">
        <v>204</v>
      </c>
      <c r="J5" s="842"/>
      <c r="K5" s="843"/>
      <c r="L5" s="835" t="s">
        <v>205</v>
      </c>
      <c r="M5" s="836"/>
      <c r="N5" s="837"/>
      <c r="O5" s="832" t="s">
        <v>206</v>
      </c>
      <c r="P5" s="833"/>
      <c r="Q5" s="834"/>
      <c r="R5" s="829" t="s">
        <v>207</v>
      </c>
      <c r="S5" s="830"/>
      <c r="T5" s="831"/>
      <c r="U5" s="847" t="s">
        <v>230</v>
      </c>
      <c r="V5" s="847"/>
      <c r="W5" s="847"/>
      <c r="X5" s="844" t="s">
        <v>231</v>
      </c>
      <c r="Y5" s="845"/>
      <c r="Z5" s="846"/>
      <c r="AA5" s="848" t="s">
        <v>925</v>
      </c>
      <c r="AB5" s="849"/>
      <c r="AC5" s="850"/>
      <c r="AD5" s="821" t="s">
        <v>596</v>
      </c>
      <c r="AE5" s="822"/>
      <c r="AF5" s="823"/>
      <c r="AG5" s="824" t="s">
        <v>597</v>
      </c>
      <c r="AH5" s="825"/>
      <c r="AI5" s="826"/>
      <c r="AJ5" s="821" t="s">
        <v>978</v>
      </c>
      <c r="AK5" s="822"/>
      <c r="AL5" s="823"/>
    </row>
    <row r="6" spans="1:62" s="62" customFormat="1" ht="51.75" customHeight="1" thickBot="1" x14ac:dyDescent="0.3">
      <c r="A6" s="828"/>
      <c r="B6" s="828"/>
      <c r="C6" s="269" t="s">
        <v>213</v>
      </c>
      <c r="D6" s="828"/>
      <c r="E6" s="828"/>
      <c r="F6" s="270" t="s">
        <v>208</v>
      </c>
      <c r="G6" s="271" t="s">
        <v>210</v>
      </c>
      <c r="H6" s="272" t="s">
        <v>211</v>
      </c>
      <c r="I6" s="270" t="s">
        <v>208</v>
      </c>
      <c r="J6" s="271" t="s">
        <v>210</v>
      </c>
      <c r="K6" s="272" t="s">
        <v>211</v>
      </c>
      <c r="L6" s="270" t="s">
        <v>208</v>
      </c>
      <c r="M6" s="271" t="s">
        <v>210</v>
      </c>
      <c r="N6" s="272" t="s">
        <v>211</v>
      </c>
      <c r="O6" s="197" t="s">
        <v>208</v>
      </c>
      <c r="P6" s="197" t="s">
        <v>210</v>
      </c>
      <c r="Q6" s="197" t="s">
        <v>211</v>
      </c>
      <c r="R6" s="197" t="s">
        <v>208</v>
      </c>
      <c r="S6" s="197" t="s">
        <v>210</v>
      </c>
      <c r="T6" s="197" t="s">
        <v>211</v>
      </c>
      <c r="U6" s="197" t="s">
        <v>208</v>
      </c>
      <c r="V6" s="197" t="s">
        <v>210</v>
      </c>
      <c r="W6" s="197" t="s">
        <v>211</v>
      </c>
      <c r="X6" s="197" t="s">
        <v>208</v>
      </c>
      <c r="Y6" s="197" t="s">
        <v>210</v>
      </c>
      <c r="Z6" s="197" t="s">
        <v>211</v>
      </c>
      <c r="AA6" s="197" t="s">
        <v>208</v>
      </c>
      <c r="AB6" s="197" t="s">
        <v>210</v>
      </c>
      <c r="AC6" s="197" t="s">
        <v>211</v>
      </c>
      <c r="AD6" s="197" t="s">
        <v>208</v>
      </c>
      <c r="AE6" s="197" t="s">
        <v>210</v>
      </c>
      <c r="AF6" s="197" t="s">
        <v>211</v>
      </c>
      <c r="AG6" s="197" t="s">
        <v>208</v>
      </c>
      <c r="AH6" s="197" t="s">
        <v>210</v>
      </c>
      <c r="AI6" s="197" t="s">
        <v>211</v>
      </c>
      <c r="AJ6" s="197" t="s">
        <v>208</v>
      </c>
      <c r="AK6" s="197" t="s">
        <v>210</v>
      </c>
      <c r="AL6" s="197" t="s">
        <v>211</v>
      </c>
    </row>
    <row r="7" spans="1:62" s="5" customFormat="1" ht="23.25" customHeight="1" x14ac:dyDescent="0.25">
      <c r="A7" s="139">
        <v>42319</v>
      </c>
      <c r="B7" s="140" t="s">
        <v>288</v>
      </c>
      <c r="C7" s="140" t="s">
        <v>288</v>
      </c>
      <c r="D7" s="140" t="s">
        <v>7</v>
      </c>
      <c r="E7" s="140" t="s">
        <v>20</v>
      </c>
      <c r="F7" s="141"/>
      <c r="G7" s="21"/>
      <c r="H7" s="142"/>
      <c r="I7" s="141"/>
      <c r="J7" s="21"/>
      <c r="K7" s="142"/>
      <c r="L7" s="141"/>
      <c r="M7" s="21"/>
      <c r="N7" s="142"/>
      <c r="O7" s="348">
        <v>988</v>
      </c>
      <c r="P7" s="276">
        <v>0</v>
      </c>
      <c r="Q7" s="277">
        <v>0</v>
      </c>
      <c r="R7" s="348">
        <v>473</v>
      </c>
      <c r="S7" s="276">
        <v>0</v>
      </c>
      <c r="T7" s="277">
        <v>0</v>
      </c>
      <c r="U7" s="348">
        <v>42</v>
      </c>
      <c r="V7" s="276">
        <v>0</v>
      </c>
      <c r="W7" s="277">
        <v>0</v>
      </c>
      <c r="X7" s="349">
        <v>869</v>
      </c>
      <c r="Y7" s="273">
        <v>0</v>
      </c>
      <c r="Z7" s="274">
        <v>0</v>
      </c>
      <c r="AA7" s="275">
        <v>0</v>
      </c>
      <c r="AB7" s="273">
        <v>0</v>
      </c>
      <c r="AC7" s="274">
        <v>0</v>
      </c>
      <c r="AD7" s="349">
        <v>496</v>
      </c>
      <c r="AE7" s="273">
        <v>0</v>
      </c>
      <c r="AF7" s="274">
        <v>0</v>
      </c>
      <c r="AG7" s="726">
        <v>2424</v>
      </c>
      <c r="AH7" s="273">
        <v>0</v>
      </c>
      <c r="AI7" s="274">
        <v>0</v>
      </c>
      <c r="AJ7" s="349">
        <v>494</v>
      </c>
      <c r="AK7" s="273">
        <v>0</v>
      </c>
      <c r="AL7" s="274">
        <v>0</v>
      </c>
    </row>
    <row r="8" spans="1:62" s="5" customFormat="1" ht="23.25" customHeight="1" x14ac:dyDescent="0.25">
      <c r="A8" s="139">
        <v>42319</v>
      </c>
      <c r="B8" s="140" t="s">
        <v>288</v>
      </c>
      <c r="C8" s="140" t="s">
        <v>288</v>
      </c>
      <c r="D8" s="140" t="s">
        <v>7</v>
      </c>
      <c r="E8" s="140" t="s">
        <v>616</v>
      </c>
      <c r="F8" s="141"/>
      <c r="G8" s="21"/>
      <c r="H8" s="142"/>
      <c r="I8" s="141"/>
      <c r="J8" s="21"/>
      <c r="K8" s="142"/>
      <c r="L8" s="141"/>
      <c r="M8" s="21"/>
      <c r="N8" s="142"/>
      <c r="O8" s="350">
        <v>941</v>
      </c>
      <c r="P8" s="351">
        <v>0</v>
      </c>
      <c r="Q8" s="274">
        <v>0</v>
      </c>
      <c r="R8" s="350">
        <v>1097</v>
      </c>
      <c r="S8" s="351">
        <v>0</v>
      </c>
      <c r="T8" s="274">
        <v>0</v>
      </c>
      <c r="U8" s="350">
        <v>901</v>
      </c>
      <c r="V8" s="351">
        <v>0</v>
      </c>
      <c r="W8" s="274">
        <v>0</v>
      </c>
      <c r="X8" s="349">
        <v>648</v>
      </c>
      <c r="Y8" s="349">
        <v>0</v>
      </c>
      <c r="Z8" s="274">
        <v>0</v>
      </c>
      <c r="AA8" s="275">
        <v>0</v>
      </c>
      <c r="AB8" s="349">
        <v>0</v>
      </c>
      <c r="AC8" s="274">
        <v>0</v>
      </c>
      <c r="AD8" s="349">
        <v>557</v>
      </c>
      <c r="AE8" s="349">
        <v>0</v>
      </c>
      <c r="AF8" s="274">
        <v>0</v>
      </c>
      <c r="AG8" s="726">
        <v>691</v>
      </c>
      <c r="AH8" s="273">
        <v>0</v>
      </c>
      <c r="AI8" s="274">
        <v>0</v>
      </c>
      <c r="AJ8" s="349">
        <v>382</v>
      </c>
      <c r="AK8" s="349">
        <v>0</v>
      </c>
      <c r="AL8" s="274">
        <v>0</v>
      </c>
    </row>
    <row r="9" spans="1:62" s="5" customFormat="1" ht="23.25" customHeight="1" x14ac:dyDescent="0.25">
      <c r="A9" s="139">
        <v>42319</v>
      </c>
      <c r="B9" s="140" t="s">
        <v>288</v>
      </c>
      <c r="C9" s="140" t="s">
        <v>288</v>
      </c>
      <c r="D9" s="140" t="s">
        <v>7</v>
      </c>
      <c r="E9" s="140" t="s">
        <v>19</v>
      </c>
      <c r="F9" s="141"/>
      <c r="G9" s="21"/>
      <c r="H9" s="142"/>
      <c r="I9" s="141"/>
      <c r="J9" s="21"/>
      <c r="K9" s="142"/>
      <c r="L9" s="141"/>
      <c r="M9" s="21"/>
      <c r="N9" s="142"/>
      <c r="O9" s="350">
        <v>4126</v>
      </c>
      <c r="P9" s="273">
        <v>0</v>
      </c>
      <c r="Q9" s="274">
        <v>0</v>
      </c>
      <c r="R9" s="350">
        <v>2087</v>
      </c>
      <c r="S9" s="273">
        <v>0</v>
      </c>
      <c r="T9" s="274">
        <v>0</v>
      </c>
      <c r="U9" s="350">
        <v>2226</v>
      </c>
      <c r="V9" s="273">
        <v>0</v>
      </c>
      <c r="W9" s="274">
        <v>0</v>
      </c>
      <c r="X9" s="349">
        <v>2113</v>
      </c>
      <c r="Y9" s="273">
        <v>0</v>
      </c>
      <c r="Z9" s="274">
        <v>0</v>
      </c>
      <c r="AA9" s="275">
        <v>8</v>
      </c>
      <c r="AB9" s="273">
        <v>0</v>
      </c>
      <c r="AC9" s="274">
        <v>0</v>
      </c>
      <c r="AD9" s="349">
        <v>2113</v>
      </c>
      <c r="AE9" s="273">
        <v>0</v>
      </c>
      <c r="AF9" s="274">
        <v>0</v>
      </c>
      <c r="AG9" s="726">
        <v>10562</v>
      </c>
      <c r="AH9" s="273">
        <v>0</v>
      </c>
      <c r="AI9" s="274">
        <v>0</v>
      </c>
      <c r="AJ9" s="349">
        <v>2113</v>
      </c>
      <c r="AK9" s="273">
        <v>0</v>
      </c>
      <c r="AL9" s="274">
        <v>0</v>
      </c>
    </row>
    <row r="10" spans="1:62" s="102" customFormat="1" ht="23.25" customHeight="1" x14ac:dyDescent="0.25">
      <c r="A10" s="139"/>
      <c r="B10" s="140"/>
      <c r="C10" s="140"/>
      <c r="D10" s="140"/>
      <c r="E10" s="140"/>
      <c r="F10" s="68"/>
      <c r="G10" s="1"/>
      <c r="H10" s="69"/>
      <c r="I10" s="68"/>
      <c r="J10" s="1"/>
      <c r="K10" s="69"/>
      <c r="L10" s="68"/>
      <c r="M10" s="1"/>
      <c r="N10" s="69"/>
      <c r="O10" s="352"/>
      <c r="P10" s="353"/>
      <c r="Q10" s="354"/>
      <c r="R10" s="352"/>
      <c r="S10" s="351"/>
      <c r="T10" s="354"/>
      <c r="U10" s="352"/>
      <c r="V10" s="351"/>
      <c r="W10" s="354"/>
      <c r="X10" s="351"/>
      <c r="Y10" s="351"/>
      <c r="Z10" s="354"/>
      <c r="AA10" s="352"/>
      <c r="AB10" s="351"/>
      <c r="AC10" s="354"/>
      <c r="AD10" s="352"/>
      <c r="AE10" s="351"/>
      <c r="AF10" s="354"/>
      <c r="AG10" s="352"/>
      <c r="AH10" s="353"/>
      <c r="AI10" s="354"/>
      <c r="AJ10" s="352"/>
      <c r="AK10" s="351"/>
      <c r="AL10" s="354"/>
    </row>
    <row r="11" spans="1:62" ht="23.25" customHeight="1" x14ac:dyDescent="0.25">
      <c r="A11" s="82" t="s">
        <v>805</v>
      </c>
      <c r="B11" s="82"/>
      <c r="C11" s="82"/>
      <c r="D11" s="82"/>
      <c r="E11" s="82"/>
      <c r="Q11" s="69"/>
      <c r="U11" s="68"/>
      <c r="V11" s="1"/>
      <c r="W11" s="69"/>
      <c r="X11" s="1"/>
    </row>
    <row r="12" spans="1:62" ht="23.25" customHeight="1" x14ac:dyDescent="0.25">
      <c r="A12" s="82"/>
      <c r="B12" s="82"/>
      <c r="C12" s="82"/>
      <c r="D12" s="82"/>
      <c r="E12" s="82"/>
      <c r="Q12" s="69"/>
      <c r="U12" s="68"/>
      <c r="V12" s="1"/>
      <c r="W12" s="69"/>
      <c r="X12" s="1"/>
    </row>
    <row r="13" spans="1:62" ht="23.25" customHeight="1" x14ac:dyDescent="0.25">
      <c r="A13" s="82"/>
      <c r="B13" s="82"/>
      <c r="C13" s="82"/>
      <c r="D13" s="82"/>
      <c r="E13" s="82"/>
      <c r="Q13" s="69"/>
      <c r="U13" s="68"/>
      <c r="V13" s="1"/>
      <c r="W13" s="69"/>
      <c r="X13" s="1"/>
    </row>
    <row r="14" spans="1:62" ht="23.25" customHeight="1" x14ac:dyDescent="0.25">
      <c r="A14" s="82"/>
      <c r="B14" s="82"/>
      <c r="C14" s="82"/>
      <c r="D14" s="82"/>
      <c r="E14" s="82"/>
      <c r="Q14" s="69"/>
      <c r="U14" s="68"/>
      <c r="V14" s="1"/>
      <c r="W14" s="69"/>
      <c r="X14" s="1"/>
    </row>
    <row r="15" spans="1:62" ht="23.25" customHeight="1" x14ac:dyDescent="0.25">
      <c r="A15" s="82"/>
      <c r="B15" s="82"/>
      <c r="C15" s="82"/>
      <c r="D15" s="82"/>
      <c r="E15" s="82"/>
      <c r="Q15" s="69"/>
      <c r="U15" s="68"/>
      <c r="V15" s="1"/>
      <c r="W15" s="69"/>
      <c r="X15" s="1"/>
    </row>
    <row r="16" spans="1:62" ht="23.25" customHeight="1" x14ac:dyDescent="0.25">
      <c r="A16" s="82"/>
      <c r="B16" s="82"/>
      <c r="C16" s="82"/>
      <c r="D16" s="82"/>
      <c r="E16" s="82"/>
      <c r="Q16" s="69"/>
      <c r="U16" s="68"/>
      <c r="V16" s="1"/>
      <c r="W16" s="69"/>
      <c r="X16" s="1"/>
    </row>
    <row r="17" spans="1:24" ht="23.25" customHeight="1" x14ac:dyDescent="0.25">
      <c r="A17" s="82"/>
      <c r="B17" s="82"/>
      <c r="C17" s="82"/>
      <c r="D17" s="82"/>
      <c r="E17" s="82"/>
      <c r="Q17" s="69"/>
      <c r="U17" s="68"/>
      <c r="V17" s="1"/>
      <c r="W17" s="69"/>
      <c r="X17" s="1"/>
    </row>
    <row r="18" spans="1:24" ht="23.25" customHeight="1" x14ac:dyDescent="0.25">
      <c r="A18" s="82"/>
      <c r="B18" s="82"/>
      <c r="C18" s="82"/>
      <c r="D18" s="82"/>
      <c r="E18" s="82"/>
      <c r="Q18" s="69"/>
      <c r="U18" s="68"/>
      <c r="V18" s="1"/>
      <c r="W18" s="69"/>
      <c r="X18" s="1"/>
    </row>
    <row r="19" spans="1:24" ht="51.75" customHeight="1" x14ac:dyDescent="0.25">
      <c r="A19" s="82"/>
      <c r="B19" s="82"/>
      <c r="C19" s="82"/>
      <c r="D19" s="82"/>
      <c r="E19" s="82"/>
      <c r="Q19" s="69"/>
      <c r="U19" s="68"/>
      <c r="V19" s="1"/>
      <c r="W19" s="69"/>
      <c r="X19" s="1"/>
    </row>
    <row r="20" spans="1:24" ht="51.75" customHeight="1" x14ac:dyDescent="0.25">
      <c r="A20" s="82"/>
      <c r="B20" s="82"/>
      <c r="C20" s="82"/>
      <c r="D20" s="82"/>
      <c r="E20" s="82"/>
      <c r="Q20" s="69"/>
      <c r="U20" s="68"/>
      <c r="V20" s="1"/>
      <c r="W20" s="69"/>
      <c r="X20" s="1"/>
    </row>
    <row r="21" spans="1:24" ht="51.75" customHeight="1" x14ac:dyDescent="0.25">
      <c r="A21" s="82"/>
      <c r="B21" s="82"/>
      <c r="C21" s="82"/>
      <c r="D21" s="82"/>
      <c r="E21" s="82"/>
      <c r="Q21" s="69"/>
      <c r="U21" s="68"/>
      <c r="V21" s="1"/>
      <c r="W21" s="69"/>
      <c r="X21" s="1"/>
    </row>
    <row r="22" spans="1:24" ht="51.75" customHeight="1" x14ac:dyDescent="0.25">
      <c r="A22" s="82"/>
      <c r="B22" s="82"/>
      <c r="C22" s="82"/>
      <c r="D22" s="82"/>
      <c r="E22" s="82"/>
      <c r="Q22" s="69"/>
      <c r="U22" s="68"/>
      <c r="V22" s="1"/>
      <c r="W22" s="69"/>
      <c r="X22" s="1"/>
    </row>
    <row r="23" spans="1:24" ht="51.75" customHeight="1" x14ac:dyDescent="0.25">
      <c r="A23" s="82"/>
      <c r="B23" s="82"/>
      <c r="C23" s="82"/>
      <c r="D23" s="82"/>
      <c r="E23" s="82"/>
      <c r="Q23" s="69"/>
      <c r="U23" s="68"/>
      <c r="V23" s="1"/>
      <c r="W23" s="69"/>
      <c r="X23" s="1"/>
    </row>
    <row r="24" spans="1:24" ht="51.75" customHeight="1" x14ac:dyDescent="0.25">
      <c r="Q24" s="69"/>
      <c r="U24" s="68"/>
      <c r="V24" s="1"/>
      <c r="W24" s="69"/>
      <c r="X24" s="1"/>
    </row>
    <row r="25" spans="1:24" ht="51.75" customHeight="1" x14ac:dyDescent="0.25">
      <c r="Q25" s="69"/>
      <c r="U25" s="68"/>
      <c r="V25" s="1"/>
      <c r="W25" s="69"/>
      <c r="X25" s="1"/>
    </row>
    <row r="26" spans="1:24" ht="51.75" customHeight="1" x14ac:dyDescent="0.25">
      <c r="Q26" s="69"/>
      <c r="U26" s="68"/>
      <c r="V26" s="1"/>
      <c r="W26" s="69"/>
      <c r="X26" s="1"/>
    </row>
    <row r="27" spans="1:24" ht="51.75" customHeight="1" x14ac:dyDescent="0.25">
      <c r="Q27" s="69"/>
      <c r="U27" s="68"/>
      <c r="V27" s="1"/>
      <c r="W27" s="69"/>
      <c r="X27" s="1"/>
    </row>
    <row r="28" spans="1:24" ht="51.75" customHeight="1" x14ac:dyDescent="0.25">
      <c r="Q28" s="69"/>
      <c r="U28" s="68"/>
      <c r="V28" s="1"/>
      <c r="W28" s="69"/>
      <c r="X28" s="1"/>
    </row>
    <row r="29" spans="1:24" ht="51.75" customHeight="1" x14ac:dyDescent="0.25">
      <c r="Q29" s="69"/>
      <c r="U29" s="68"/>
      <c r="V29" s="1"/>
      <c r="W29" s="69"/>
      <c r="X29" s="1"/>
    </row>
    <row r="30" spans="1:24" ht="51.75" customHeight="1" x14ac:dyDescent="0.25">
      <c r="Q30" s="69"/>
      <c r="U30" s="68"/>
      <c r="V30" s="1"/>
      <c r="W30" s="69"/>
      <c r="X30" s="1"/>
    </row>
    <row r="31" spans="1:24" ht="51.75" customHeight="1" x14ac:dyDescent="0.25">
      <c r="Q31" s="69"/>
      <c r="U31" s="68"/>
      <c r="V31" s="1"/>
      <c r="W31" s="69"/>
      <c r="X31" s="1"/>
    </row>
    <row r="32" spans="1:24" ht="51.75" customHeight="1" x14ac:dyDescent="0.25">
      <c r="Q32" s="69"/>
      <c r="U32" s="68"/>
      <c r="V32" s="1"/>
      <c r="W32" s="69"/>
      <c r="X32" s="1"/>
    </row>
    <row r="33" spans="17:24" ht="51.75" customHeight="1" x14ac:dyDescent="0.25">
      <c r="Q33" s="69"/>
      <c r="U33" s="68"/>
      <c r="V33" s="1"/>
      <c r="W33" s="69"/>
      <c r="X33" s="1"/>
    </row>
    <row r="34" spans="17:24" ht="51.75" customHeight="1" x14ac:dyDescent="0.25">
      <c r="Q34" s="69"/>
      <c r="U34" s="68"/>
      <c r="V34" s="1"/>
      <c r="W34" s="69"/>
      <c r="X34" s="1"/>
    </row>
    <row r="35" spans="17:24" ht="51.75" customHeight="1" x14ac:dyDescent="0.25">
      <c r="Q35" s="69"/>
      <c r="U35" s="68"/>
      <c r="V35" s="1"/>
      <c r="W35" s="69"/>
      <c r="X35" s="1"/>
    </row>
    <row r="36" spans="17:24" ht="51.75" customHeight="1" x14ac:dyDescent="0.25">
      <c r="Q36" s="69"/>
      <c r="U36" s="68"/>
      <c r="V36" s="1"/>
      <c r="W36" s="69"/>
      <c r="X36" s="1"/>
    </row>
    <row r="37" spans="17:24" ht="51.75" customHeight="1" x14ac:dyDescent="0.25">
      <c r="Q37" s="69"/>
      <c r="U37" s="68"/>
      <c r="V37" s="1"/>
      <c r="W37" s="69"/>
      <c r="X37" s="1"/>
    </row>
    <row r="38" spans="17:24" ht="51.75" customHeight="1" x14ac:dyDescent="0.25">
      <c r="Q38" s="69"/>
      <c r="U38" s="68"/>
      <c r="V38" s="1"/>
      <c r="W38" s="69"/>
      <c r="X38" s="1"/>
    </row>
    <row r="39" spans="17:24" ht="51.75" customHeight="1" x14ac:dyDescent="0.25">
      <c r="Q39" s="69"/>
      <c r="U39" s="68"/>
      <c r="V39" s="1"/>
      <c r="W39" s="69"/>
      <c r="X39" s="1"/>
    </row>
    <row r="40" spans="17:24" ht="51.75" customHeight="1" x14ac:dyDescent="0.25">
      <c r="Q40" s="69"/>
      <c r="U40" s="68"/>
      <c r="V40" s="1"/>
      <c r="W40" s="69"/>
      <c r="X40" s="1"/>
    </row>
    <row r="41" spans="17:24" ht="51.75" customHeight="1" x14ac:dyDescent="0.25">
      <c r="Q41" s="69"/>
      <c r="U41" s="68"/>
      <c r="V41" s="1"/>
      <c r="W41" s="69"/>
      <c r="X41" s="1"/>
    </row>
    <row r="42" spans="17:24" ht="51.75" customHeight="1" x14ac:dyDescent="0.25">
      <c r="Q42" s="69"/>
      <c r="U42" s="68"/>
      <c r="V42" s="1"/>
      <c r="W42" s="69"/>
      <c r="X42" s="1"/>
    </row>
    <row r="43" spans="17:24" ht="51.75" customHeight="1" x14ac:dyDescent="0.25">
      <c r="Q43" s="69"/>
      <c r="U43" s="68"/>
      <c r="V43" s="1"/>
      <c r="W43" s="69"/>
      <c r="X43" s="1"/>
    </row>
    <row r="44" spans="17:24" ht="51.75" customHeight="1" x14ac:dyDescent="0.25">
      <c r="Q44" s="69"/>
      <c r="U44" s="68"/>
      <c r="V44" s="1"/>
      <c r="W44" s="69"/>
      <c r="X44" s="1"/>
    </row>
    <row r="45" spans="17:24" ht="51.75" customHeight="1" x14ac:dyDescent="0.25">
      <c r="Q45" s="69"/>
      <c r="U45" s="68"/>
      <c r="V45" s="1"/>
      <c r="W45" s="69"/>
      <c r="X45" s="1"/>
    </row>
    <row r="46" spans="17:24" ht="51.75" customHeight="1" x14ac:dyDescent="0.25">
      <c r="Q46" s="69"/>
      <c r="U46" s="68"/>
      <c r="V46" s="1"/>
      <c r="W46" s="69"/>
      <c r="X46" s="1"/>
    </row>
    <row r="47" spans="17:24" ht="51.75" customHeight="1" x14ac:dyDescent="0.25">
      <c r="Q47" s="69"/>
      <c r="U47" s="68"/>
      <c r="V47" s="1"/>
      <c r="W47" s="69"/>
      <c r="X47" s="1"/>
    </row>
    <row r="48" spans="17:24" ht="51.75" customHeight="1" x14ac:dyDescent="0.25">
      <c r="Q48" s="69"/>
      <c r="U48" s="68"/>
      <c r="V48" s="1"/>
      <c r="W48" s="69"/>
      <c r="X48" s="1"/>
    </row>
    <row r="49" spans="17:24" ht="51.75" customHeight="1" x14ac:dyDescent="0.25">
      <c r="Q49" s="69"/>
      <c r="U49" s="68"/>
      <c r="V49" s="1"/>
      <c r="W49" s="69"/>
      <c r="X49" s="1"/>
    </row>
    <row r="50" spans="17:24" ht="51.75" customHeight="1" x14ac:dyDescent="0.25">
      <c r="Q50" s="69"/>
      <c r="U50" s="68"/>
      <c r="V50" s="1"/>
      <c r="W50" s="69"/>
      <c r="X50" s="1"/>
    </row>
    <row r="51" spans="17:24" ht="51.75" customHeight="1" x14ac:dyDescent="0.25">
      <c r="Q51" s="69"/>
      <c r="U51" s="68"/>
      <c r="V51" s="1"/>
      <c r="W51" s="69"/>
      <c r="X51" s="1"/>
    </row>
    <row r="52" spans="17:24" ht="51.75" customHeight="1" x14ac:dyDescent="0.25">
      <c r="Q52" s="69"/>
      <c r="U52" s="68"/>
      <c r="V52" s="1"/>
      <c r="W52" s="69"/>
      <c r="X52" s="1"/>
    </row>
    <row r="53" spans="17:24" ht="51.75" customHeight="1" x14ac:dyDescent="0.25">
      <c r="Q53" s="69"/>
      <c r="U53" s="68"/>
      <c r="V53" s="1"/>
      <c r="W53" s="69"/>
      <c r="X53" s="1"/>
    </row>
    <row r="54" spans="17:24" ht="51.75" customHeight="1" x14ac:dyDescent="0.25">
      <c r="Q54" s="69"/>
      <c r="U54" s="68"/>
      <c r="V54" s="1"/>
      <c r="W54" s="69"/>
      <c r="X54" s="1"/>
    </row>
    <row r="55" spans="17:24" ht="51.75" customHeight="1" x14ac:dyDescent="0.25">
      <c r="Q55" s="69"/>
      <c r="U55" s="68"/>
      <c r="V55" s="1"/>
      <c r="W55" s="69"/>
      <c r="X55" s="1"/>
    </row>
    <row r="56" spans="17:24" ht="51.75" customHeight="1" x14ac:dyDescent="0.25">
      <c r="Q56" s="69"/>
      <c r="U56" s="68"/>
      <c r="V56" s="1"/>
      <c r="W56" s="69"/>
      <c r="X56" s="1"/>
    </row>
    <row r="57" spans="17:24" ht="51.75" customHeight="1" x14ac:dyDescent="0.25">
      <c r="Q57" s="69"/>
      <c r="U57" s="68"/>
      <c r="V57" s="1"/>
      <c r="W57" s="69"/>
      <c r="X57" s="1"/>
    </row>
    <row r="58" spans="17:24" ht="51.75" customHeight="1" x14ac:dyDescent="0.25">
      <c r="Q58" s="69"/>
      <c r="U58" s="68"/>
      <c r="V58" s="1"/>
      <c r="W58" s="69"/>
      <c r="X58" s="1"/>
    </row>
    <row r="59" spans="17:24" ht="51.75" customHeight="1" x14ac:dyDescent="0.25">
      <c r="Q59" s="69"/>
      <c r="U59" s="68"/>
      <c r="V59" s="1"/>
      <c r="W59" s="69"/>
      <c r="X59" s="1"/>
    </row>
    <row r="60" spans="17:24" ht="51.75" customHeight="1" x14ac:dyDescent="0.25">
      <c r="Q60" s="69"/>
      <c r="U60" s="68"/>
      <c r="V60" s="1"/>
      <c r="W60" s="69"/>
      <c r="X60" s="1"/>
    </row>
    <row r="61" spans="17:24" ht="51.75" customHeight="1" x14ac:dyDescent="0.25">
      <c r="Q61" s="69"/>
      <c r="U61" s="68"/>
      <c r="V61" s="1"/>
      <c r="W61" s="69"/>
      <c r="X61" s="1"/>
    </row>
    <row r="62" spans="17:24" ht="51.75" customHeight="1" x14ac:dyDescent="0.25">
      <c r="Q62" s="69"/>
      <c r="U62" s="68"/>
      <c r="V62" s="1"/>
      <c r="W62" s="69"/>
      <c r="X62" s="1"/>
    </row>
    <row r="63" spans="17:24" ht="51.75" customHeight="1" x14ac:dyDescent="0.25">
      <c r="Q63" s="69"/>
      <c r="U63" s="68"/>
      <c r="V63" s="1"/>
      <c r="W63" s="69"/>
      <c r="X63" s="1"/>
    </row>
    <row r="64" spans="17:24" ht="51.75" customHeight="1" x14ac:dyDescent="0.25">
      <c r="Q64" s="69"/>
      <c r="U64" s="68"/>
      <c r="V64" s="1"/>
      <c r="W64" s="69"/>
      <c r="X64" s="1"/>
    </row>
    <row r="65" spans="17:24" ht="51.75" customHeight="1" x14ac:dyDescent="0.25">
      <c r="Q65" s="69"/>
      <c r="U65" s="68"/>
      <c r="V65" s="1"/>
      <c r="W65" s="69"/>
      <c r="X65" s="1"/>
    </row>
    <row r="66" spans="17:24" ht="51.75" customHeight="1" x14ac:dyDescent="0.25">
      <c r="Q66" s="69"/>
      <c r="U66" s="68"/>
      <c r="V66" s="1"/>
      <c r="W66" s="69"/>
      <c r="X66" s="1"/>
    </row>
    <row r="67" spans="17:24" ht="51.75" customHeight="1" x14ac:dyDescent="0.25">
      <c r="Q67" s="69"/>
      <c r="U67" s="68"/>
      <c r="V67" s="1"/>
      <c r="W67" s="69"/>
      <c r="X67" s="1"/>
    </row>
    <row r="68" spans="17:24" ht="51.75" customHeight="1" x14ac:dyDescent="0.25">
      <c r="Q68" s="69"/>
      <c r="U68" s="68"/>
      <c r="V68" s="1"/>
      <c r="W68" s="69"/>
      <c r="X68" s="1"/>
    </row>
    <row r="69" spans="17:24" ht="51.75" customHeight="1" x14ac:dyDescent="0.25">
      <c r="Q69" s="69"/>
      <c r="U69" s="68"/>
      <c r="V69" s="1"/>
      <c r="W69" s="69"/>
      <c r="X69" s="1"/>
    </row>
    <row r="70" spans="17:24" ht="51.75" customHeight="1" x14ac:dyDescent="0.25">
      <c r="Q70" s="69"/>
      <c r="U70" s="68"/>
      <c r="V70" s="1"/>
      <c r="W70" s="69"/>
      <c r="X70" s="1"/>
    </row>
    <row r="71" spans="17:24" ht="51.75" customHeight="1" x14ac:dyDescent="0.25">
      <c r="Q71" s="69"/>
      <c r="U71" s="68"/>
      <c r="V71" s="1"/>
      <c r="W71" s="69"/>
      <c r="X71" s="1"/>
    </row>
    <row r="72" spans="17:24" ht="51.75" customHeight="1" x14ac:dyDescent="0.25">
      <c r="Q72" s="69"/>
      <c r="U72" s="68"/>
      <c r="V72" s="1"/>
      <c r="W72" s="69"/>
      <c r="X72" s="1"/>
    </row>
    <row r="73" spans="17:24" ht="51.75" customHeight="1" x14ac:dyDescent="0.25">
      <c r="Q73" s="69"/>
      <c r="U73" s="68"/>
      <c r="V73" s="1"/>
      <c r="W73" s="69"/>
      <c r="X73" s="1"/>
    </row>
    <row r="74" spans="17:24" ht="51.75" customHeight="1" x14ac:dyDescent="0.25">
      <c r="Q74" s="69"/>
      <c r="U74" s="68"/>
      <c r="V74" s="1"/>
      <c r="W74" s="69"/>
      <c r="X74" s="1"/>
    </row>
    <row r="75" spans="17:24" ht="51.75" customHeight="1" x14ac:dyDescent="0.25">
      <c r="Q75" s="69"/>
      <c r="U75" s="68"/>
      <c r="V75" s="1"/>
      <c r="W75" s="69"/>
      <c r="X75" s="1"/>
    </row>
    <row r="76" spans="17:24" ht="51.75" customHeight="1" x14ac:dyDescent="0.25">
      <c r="Q76" s="69"/>
      <c r="U76" s="68"/>
      <c r="V76" s="1"/>
      <c r="W76" s="69"/>
      <c r="X76" s="1"/>
    </row>
    <row r="77" spans="17:24" ht="51.75" customHeight="1" x14ac:dyDescent="0.25">
      <c r="Q77" s="69"/>
      <c r="U77" s="68"/>
      <c r="V77" s="1"/>
      <c r="W77" s="69"/>
      <c r="X77" s="1"/>
    </row>
    <row r="78" spans="17:24" ht="51.75" customHeight="1" x14ac:dyDescent="0.25">
      <c r="Q78" s="69"/>
      <c r="U78" s="68"/>
      <c r="V78" s="1"/>
      <c r="W78" s="69"/>
      <c r="X78" s="1"/>
    </row>
    <row r="79" spans="17:24" ht="51.75" customHeight="1" x14ac:dyDescent="0.25">
      <c r="Q79" s="69"/>
      <c r="U79" s="68"/>
      <c r="V79" s="1"/>
      <c r="W79" s="69"/>
      <c r="X79" s="1"/>
    </row>
    <row r="80" spans="17:24" ht="51.75" customHeight="1" x14ac:dyDescent="0.25">
      <c r="Q80" s="69"/>
      <c r="U80" s="68"/>
      <c r="V80" s="1"/>
      <c r="W80" s="69"/>
      <c r="X80" s="1"/>
    </row>
    <row r="81" spans="17:24" ht="51.75" customHeight="1" x14ac:dyDescent="0.25">
      <c r="Q81" s="69"/>
      <c r="U81" s="68"/>
      <c r="V81" s="1"/>
      <c r="W81" s="69"/>
      <c r="X81" s="1"/>
    </row>
    <row r="82" spans="17:24" ht="51.75" customHeight="1" x14ac:dyDescent="0.25">
      <c r="Q82" s="69"/>
      <c r="U82" s="68"/>
      <c r="V82" s="1"/>
      <c r="W82" s="69"/>
      <c r="X82" s="1"/>
    </row>
    <row r="83" spans="17:24" ht="51.75" customHeight="1" x14ac:dyDescent="0.25">
      <c r="Q83" s="69"/>
      <c r="U83" s="68"/>
      <c r="V83" s="1"/>
      <c r="W83" s="69"/>
      <c r="X83" s="1"/>
    </row>
    <row r="84" spans="17:24" ht="51.75" customHeight="1" x14ac:dyDescent="0.25">
      <c r="Q84" s="69"/>
      <c r="U84" s="68"/>
      <c r="V84" s="1"/>
      <c r="W84" s="69"/>
      <c r="X84" s="1"/>
    </row>
    <row r="85" spans="17:24" ht="51.75" customHeight="1" x14ac:dyDescent="0.25">
      <c r="Q85" s="69"/>
      <c r="U85" s="68"/>
      <c r="V85" s="1"/>
      <c r="W85" s="69"/>
      <c r="X85" s="1"/>
    </row>
    <row r="86" spans="17:24" ht="51.75" customHeight="1" x14ac:dyDescent="0.25">
      <c r="Q86" s="69"/>
      <c r="U86" s="68"/>
      <c r="V86" s="1"/>
      <c r="W86" s="69"/>
      <c r="X86" s="1"/>
    </row>
    <row r="87" spans="17:24" ht="51.75" customHeight="1" x14ac:dyDescent="0.25">
      <c r="Q87" s="69"/>
      <c r="U87" s="68"/>
      <c r="V87" s="1"/>
      <c r="W87" s="69"/>
      <c r="X87" s="1"/>
    </row>
    <row r="88" spans="17:24" ht="51.75" customHeight="1" x14ac:dyDescent="0.25">
      <c r="Q88" s="69"/>
      <c r="U88" s="68"/>
      <c r="V88" s="1"/>
      <c r="W88" s="69"/>
      <c r="X88" s="1"/>
    </row>
    <row r="89" spans="17:24" ht="51.75" customHeight="1" x14ac:dyDescent="0.25">
      <c r="Q89" s="69"/>
      <c r="U89" s="68"/>
      <c r="V89" s="1"/>
      <c r="W89" s="69"/>
      <c r="X89" s="1"/>
    </row>
    <row r="90" spans="17:24" ht="51.75" customHeight="1" x14ac:dyDescent="0.25">
      <c r="Q90" s="69"/>
      <c r="U90" s="68"/>
      <c r="V90" s="1"/>
      <c r="W90" s="69"/>
      <c r="X90" s="1"/>
    </row>
    <row r="91" spans="17:24" ht="51.75" customHeight="1" x14ac:dyDescent="0.25">
      <c r="Q91" s="69"/>
      <c r="U91" s="68"/>
      <c r="V91" s="1"/>
      <c r="W91" s="69"/>
      <c r="X91" s="1"/>
    </row>
    <row r="92" spans="17:24" ht="51.75" customHeight="1" x14ac:dyDescent="0.25">
      <c r="Q92" s="69"/>
      <c r="U92" s="68"/>
      <c r="V92" s="1"/>
      <c r="W92" s="69"/>
      <c r="X92" s="1"/>
    </row>
    <row r="93" spans="17:24" ht="51.75" customHeight="1" x14ac:dyDescent="0.25">
      <c r="Q93" s="69"/>
      <c r="U93" s="68"/>
      <c r="V93" s="1"/>
      <c r="W93" s="69"/>
      <c r="X93" s="1"/>
    </row>
    <row r="94" spans="17:24" ht="51.75" customHeight="1" x14ac:dyDescent="0.25">
      <c r="Q94" s="69"/>
      <c r="U94" s="68"/>
      <c r="V94" s="1"/>
      <c r="W94" s="69"/>
      <c r="X94" s="1"/>
    </row>
    <row r="95" spans="17:24" ht="51.75" customHeight="1" x14ac:dyDescent="0.25">
      <c r="Q95" s="69"/>
      <c r="U95" s="68"/>
      <c r="V95" s="1"/>
      <c r="W95" s="69"/>
      <c r="X95" s="1"/>
    </row>
    <row r="96" spans="17:24" ht="51.75" customHeight="1" x14ac:dyDescent="0.25">
      <c r="Q96" s="69"/>
      <c r="U96" s="68"/>
      <c r="V96" s="1"/>
      <c r="W96" s="69"/>
      <c r="X96" s="1"/>
    </row>
    <row r="97" spans="15:24" ht="51.75" customHeight="1" x14ac:dyDescent="0.25">
      <c r="Q97" s="69"/>
      <c r="U97" s="68"/>
      <c r="V97" s="1"/>
      <c r="W97" s="69"/>
      <c r="X97" s="1"/>
    </row>
    <row r="98" spans="15:24" ht="51.75" customHeight="1" x14ac:dyDescent="0.25">
      <c r="Q98" s="69"/>
      <c r="U98" s="68"/>
      <c r="V98" s="1"/>
      <c r="W98" s="69"/>
      <c r="X98" s="1"/>
    </row>
    <row r="99" spans="15:24" ht="51.75" customHeight="1" x14ac:dyDescent="0.25">
      <c r="Q99" s="69"/>
      <c r="U99" s="68"/>
      <c r="V99" s="1"/>
      <c r="W99" s="69"/>
      <c r="X99" s="1"/>
    </row>
    <row r="100" spans="15:24" ht="51.75" customHeight="1" x14ac:dyDescent="0.25">
      <c r="Q100" s="69"/>
      <c r="U100" s="68"/>
      <c r="V100" s="1"/>
      <c r="W100" s="69"/>
      <c r="X100" s="1"/>
    </row>
    <row r="101" spans="15:24" ht="51.75" customHeight="1" x14ac:dyDescent="0.25">
      <c r="Q101" s="69"/>
      <c r="U101" s="68"/>
      <c r="V101" s="1"/>
      <c r="W101" s="69"/>
      <c r="X101" s="1"/>
    </row>
    <row r="102" spans="15:24" ht="51.75" customHeight="1" x14ac:dyDescent="0.25">
      <c r="Q102" s="69"/>
      <c r="U102" s="68"/>
      <c r="V102" s="1"/>
      <c r="W102" s="69"/>
      <c r="X102" s="1"/>
    </row>
    <row r="103" spans="15:24" ht="51.75" customHeight="1" x14ac:dyDescent="0.25">
      <c r="Q103" s="69"/>
      <c r="U103" s="68"/>
      <c r="V103" s="1"/>
      <c r="W103" s="69"/>
      <c r="X103" s="1"/>
    </row>
    <row r="104" spans="15:24" ht="51.75" customHeight="1" x14ac:dyDescent="0.25">
      <c r="Q104" s="69"/>
      <c r="U104" s="68"/>
      <c r="V104" s="1"/>
      <c r="W104" s="69"/>
      <c r="X104" s="1"/>
    </row>
    <row r="105" spans="15:24" ht="51.75" customHeight="1" x14ac:dyDescent="0.25">
      <c r="Q105" s="69"/>
      <c r="U105" s="68"/>
      <c r="V105" s="1"/>
      <c r="W105" s="69"/>
      <c r="X105" s="1"/>
    </row>
    <row r="106" spans="15:24" ht="51.75" customHeight="1" thickBot="1" x14ac:dyDescent="0.3">
      <c r="O106" s="278"/>
      <c r="P106" s="279"/>
      <c r="Q106" s="280"/>
      <c r="R106" s="278"/>
      <c r="S106" s="279"/>
      <c r="T106" s="280"/>
      <c r="U106" s="278"/>
      <c r="V106" s="279"/>
      <c r="W106" s="280"/>
      <c r="X106" s="1"/>
    </row>
  </sheetData>
  <mergeCells count="16">
    <mergeCell ref="AJ5:AL5"/>
    <mergeCell ref="AG5:AI5"/>
    <mergeCell ref="A3:AF3"/>
    <mergeCell ref="B5:B6"/>
    <mergeCell ref="A5:A6"/>
    <mergeCell ref="R5:T5"/>
    <mergeCell ref="O5:Q5"/>
    <mergeCell ref="L5:N5"/>
    <mergeCell ref="F5:H5"/>
    <mergeCell ref="I5:K5"/>
    <mergeCell ref="X5:Z5"/>
    <mergeCell ref="U5:W5"/>
    <mergeCell ref="E5:E6"/>
    <mergeCell ref="D5:D6"/>
    <mergeCell ref="AD5:AF5"/>
    <mergeCell ref="AA5:AC5"/>
  </mergeCells>
  <pageMargins left="0.25" right="0.25" top="0.75" bottom="0.75" header="0.3" footer="0.3"/>
  <pageSetup paperSize="9" scale="5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155"/>
  <sheetViews>
    <sheetView showZeros="0" zoomScale="60" zoomScaleNormal="60" workbookViewId="0">
      <selection activeCell="A9" sqref="A9:B9"/>
    </sheetView>
  </sheetViews>
  <sheetFormatPr defaultRowHeight="15" x14ac:dyDescent="0.25"/>
  <cols>
    <col min="1" max="1" width="25" customWidth="1"/>
    <col min="2" max="2" width="27.85546875" customWidth="1"/>
    <col min="3" max="3" width="28.7109375" customWidth="1"/>
    <col min="4" max="4" width="20.42578125" customWidth="1"/>
    <col min="5" max="5" width="13" customWidth="1"/>
    <col min="6" max="6" width="32.42578125" customWidth="1"/>
    <col min="7" max="7" width="21.7109375" style="46" customWidth="1"/>
    <col min="8" max="9" width="11.85546875" customWidth="1"/>
    <col min="10" max="10" width="19.7109375" customWidth="1"/>
    <col min="11" max="11" width="10.85546875" customWidth="1"/>
    <col min="12" max="12" width="12" customWidth="1"/>
    <col min="13" max="13" width="10.85546875" customWidth="1"/>
    <col min="14" max="14" width="12.7109375" customWidth="1"/>
  </cols>
  <sheetData>
    <row r="1" spans="1:20" ht="21" x14ac:dyDescent="0.35">
      <c r="A1" s="14" t="s">
        <v>7</v>
      </c>
      <c r="B1" s="42"/>
      <c r="C1" s="42"/>
      <c r="D1" s="42"/>
      <c r="E1" s="42"/>
      <c r="F1" s="42"/>
      <c r="L1" s="15" t="s">
        <v>6</v>
      </c>
      <c r="M1" s="42"/>
      <c r="N1" s="42"/>
      <c r="O1" s="42"/>
      <c r="P1" s="42"/>
      <c r="Q1" s="42"/>
      <c r="R1" s="42"/>
      <c r="S1" s="42"/>
      <c r="T1" s="42"/>
    </row>
    <row r="2" spans="1:20" ht="38.25" x14ac:dyDescent="0.25">
      <c r="A2" s="41" t="s">
        <v>302</v>
      </c>
      <c r="B2" s="41" t="s">
        <v>203</v>
      </c>
      <c r="C2" s="41" t="s">
        <v>204</v>
      </c>
      <c r="D2" s="41" t="s">
        <v>205</v>
      </c>
      <c r="E2" s="41" t="s">
        <v>206</v>
      </c>
      <c r="F2" s="41" t="s">
        <v>207</v>
      </c>
      <c r="G2" s="45"/>
      <c r="H2" s="41" t="s">
        <v>230</v>
      </c>
      <c r="I2" s="41" t="s">
        <v>231</v>
      </c>
      <c r="J2" s="41" t="s">
        <v>336</v>
      </c>
      <c r="K2" s="42"/>
      <c r="L2" s="41" t="s">
        <v>302</v>
      </c>
      <c r="M2" s="41" t="s">
        <v>203</v>
      </c>
      <c r="N2" s="41" t="s">
        <v>204</v>
      </c>
      <c r="O2" s="41" t="s">
        <v>205</v>
      </c>
      <c r="P2" s="41" t="s">
        <v>335</v>
      </c>
      <c r="Q2" s="41" t="s">
        <v>311</v>
      </c>
      <c r="R2" s="41" t="s">
        <v>230</v>
      </c>
      <c r="S2" s="41" t="s">
        <v>231</v>
      </c>
      <c r="T2" s="59" t="s">
        <v>336</v>
      </c>
    </row>
    <row r="3" spans="1:20" x14ac:dyDescent="0.25">
      <c r="A3" t="s">
        <v>291</v>
      </c>
      <c r="B3" s="102">
        <f t="shared" ref="B3:B9" si="0">SUMIFS(NFI_Hygiene_Track,NFI_Org,A3,NFI_State,"Rakhine")</f>
        <v>0</v>
      </c>
      <c r="C3" s="102">
        <f t="shared" ref="C3:C8" si="1">SUMIFS(NFI_Core_Track,NFI_Org,A3,NFI_State,"Rakhine")</f>
        <v>1364</v>
      </c>
      <c r="D3" s="102">
        <f t="shared" ref="D3:D8" si="2">SUMIFS(NFI_Sanitary_Track,NFI_Org,A3,NFI_State,"Rakhine")</f>
        <v>0</v>
      </c>
      <c r="E3" s="102">
        <f t="shared" ref="E3:E8" si="3">SUMIFS(NFI_Mosquito_Track,NFI_Org,A3,NFI_State,"Rakhine")</f>
        <v>2728</v>
      </c>
      <c r="F3" s="102">
        <f t="shared" ref="F3:F8" si="4">SUMIFS(NFI_Tarpaulin_Track,NFI_Org,A3,NFI_State,"Rakhine")</f>
        <v>1364</v>
      </c>
      <c r="G3" s="102"/>
      <c r="H3" s="102">
        <f t="shared" ref="H3:H8" si="5">SUMIFS(NFI_Blanket_Track,NFI_Org,A3,NFI_State,"Rakhine")</f>
        <v>2728</v>
      </c>
      <c r="I3" s="102">
        <f t="shared" ref="I3:I8" si="6">SUMIFS(NFI_Kitchen_Track,NFI_Org,A3,NFI_State,"Rakhine")</f>
        <v>1364</v>
      </c>
      <c r="J3" s="102">
        <f t="shared" ref="J3:J8" si="7">SUMIFS(NFI_Complementary_Track,NFI_Org,A3,NFI_State,"Rakhine")</f>
        <v>0</v>
      </c>
      <c r="L3" s="42" t="s">
        <v>288</v>
      </c>
      <c r="M3" s="42">
        <f>SUMIFS(NFI_Hygiene_Track,NFI_Org,L3,NFI_State,"Kachin")</f>
        <v>0</v>
      </c>
      <c r="N3" s="42">
        <f>SUMIFS(NFI_Core_Track,NFI_Org,L3,NFI_State,"Kachin")</f>
        <v>0</v>
      </c>
      <c r="O3" s="42">
        <f>SUMIFS(NFI_Sanitary_Track,NFI_Org,L3,NFI_State,"Kachin")</f>
        <v>0</v>
      </c>
      <c r="P3" s="42">
        <f>SUMIFS(NFI_Mosquito_Track,NFI_Org,L3,NFI_State,"Kachin")</f>
        <v>0</v>
      </c>
      <c r="Q3" s="42">
        <f>SUMIFS(NFI_Tarpaulin_Track,NFI_Org,L3,NFI_State,"Kachin")</f>
        <v>0</v>
      </c>
      <c r="R3" s="42">
        <f>SUMIFS(NFI_Blanket_Track,NFI_Org,L3,NFI_State,"Kachin")</f>
        <v>0</v>
      </c>
      <c r="S3" s="42">
        <f>SUMIFS(NFI_Kitchen_Track,NFI_Org,L3,NFI_State,"Kachin")</f>
        <v>0</v>
      </c>
      <c r="T3" s="42">
        <f>SUMIFS(NFI_Complementary_Track,NFI_Org,L3,NFI_State,"Kachin")</f>
        <v>0</v>
      </c>
    </row>
    <row r="4" spans="1:20" x14ac:dyDescent="0.25">
      <c r="A4" t="s">
        <v>643</v>
      </c>
      <c r="B4" s="102">
        <f t="shared" si="0"/>
        <v>0</v>
      </c>
      <c r="C4" s="102">
        <f t="shared" si="1"/>
        <v>1007</v>
      </c>
      <c r="D4" s="102">
        <f t="shared" si="2"/>
        <v>0</v>
      </c>
      <c r="E4" s="102">
        <f t="shared" si="3"/>
        <v>2016</v>
      </c>
      <c r="F4" s="102">
        <f t="shared" si="4"/>
        <v>1008</v>
      </c>
      <c r="G4" s="102"/>
      <c r="H4" s="102">
        <f t="shared" si="5"/>
        <v>2016</v>
      </c>
      <c r="I4" s="102">
        <f t="shared" si="6"/>
        <v>1008</v>
      </c>
      <c r="J4" s="102">
        <f t="shared" si="7"/>
        <v>0</v>
      </c>
      <c r="L4" s="42"/>
      <c r="M4" s="42"/>
      <c r="N4" s="42"/>
      <c r="O4" s="42"/>
      <c r="P4" s="42"/>
      <c r="Q4" s="42"/>
      <c r="R4" s="42"/>
      <c r="S4" s="42"/>
      <c r="T4" s="42"/>
    </row>
    <row r="5" spans="1:20" x14ac:dyDescent="0.25">
      <c r="A5" t="s">
        <v>288</v>
      </c>
      <c r="B5" s="102">
        <f t="shared" si="0"/>
        <v>875</v>
      </c>
      <c r="C5" s="102">
        <f t="shared" si="1"/>
        <v>5634</v>
      </c>
      <c r="D5" s="102">
        <f t="shared" si="2"/>
        <v>925</v>
      </c>
      <c r="E5" s="102">
        <f t="shared" si="3"/>
        <v>16012</v>
      </c>
      <c r="F5" s="102">
        <f t="shared" si="4"/>
        <v>9400</v>
      </c>
      <c r="G5" s="102"/>
      <c r="H5" s="102">
        <f t="shared" si="5"/>
        <v>17246</v>
      </c>
      <c r="I5" s="102">
        <f t="shared" si="6"/>
        <v>7649</v>
      </c>
      <c r="J5" s="102">
        <f t="shared" si="7"/>
        <v>509</v>
      </c>
    </row>
    <row r="6" spans="1:20" x14ac:dyDescent="0.25">
      <c r="A6" t="s">
        <v>926</v>
      </c>
      <c r="B6" s="102">
        <f t="shared" si="0"/>
        <v>0</v>
      </c>
      <c r="C6" s="102">
        <f t="shared" si="1"/>
        <v>0</v>
      </c>
      <c r="D6" s="102">
        <f t="shared" si="2"/>
        <v>0</v>
      </c>
      <c r="E6" s="102">
        <f t="shared" si="3"/>
        <v>0</v>
      </c>
      <c r="F6" s="102">
        <f t="shared" si="4"/>
        <v>0</v>
      </c>
      <c r="G6" s="102"/>
      <c r="H6" s="102">
        <f t="shared" si="5"/>
        <v>0</v>
      </c>
      <c r="I6" s="102">
        <f t="shared" si="6"/>
        <v>0</v>
      </c>
      <c r="J6" s="102">
        <f t="shared" si="7"/>
        <v>0</v>
      </c>
      <c r="L6" s="42"/>
      <c r="M6" s="42"/>
      <c r="N6" s="42"/>
      <c r="O6" s="42"/>
      <c r="P6" s="42"/>
      <c r="Q6" s="42"/>
      <c r="R6" s="42"/>
      <c r="S6" s="42"/>
      <c r="T6" s="42"/>
    </row>
    <row r="7" spans="1:20" x14ac:dyDescent="0.25">
      <c r="A7" t="s">
        <v>733</v>
      </c>
      <c r="B7" s="102">
        <f t="shared" si="0"/>
        <v>2172</v>
      </c>
      <c r="C7" s="102">
        <f t="shared" si="1"/>
        <v>0</v>
      </c>
      <c r="D7" s="102">
        <f t="shared" si="2"/>
        <v>0</v>
      </c>
      <c r="E7" s="102">
        <f t="shared" si="3"/>
        <v>0</v>
      </c>
      <c r="F7" s="102">
        <f t="shared" si="4"/>
        <v>0</v>
      </c>
      <c r="G7" s="102"/>
      <c r="H7" s="102">
        <f t="shared" si="5"/>
        <v>0</v>
      </c>
      <c r="I7" s="102">
        <f t="shared" si="6"/>
        <v>0</v>
      </c>
      <c r="J7" s="102">
        <f t="shared" si="7"/>
        <v>0</v>
      </c>
      <c r="L7" s="42"/>
      <c r="M7" s="42"/>
      <c r="N7" s="42"/>
      <c r="O7" s="42"/>
      <c r="P7" s="42"/>
      <c r="Q7" s="42"/>
      <c r="R7" s="42"/>
      <c r="S7" s="42"/>
      <c r="T7" s="42"/>
    </row>
    <row r="8" spans="1:20" x14ac:dyDescent="0.25">
      <c r="A8" t="s">
        <v>526</v>
      </c>
      <c r="B8" s="102">
        <f t="shared" si="0"/>
        <v>1020</v>
      </c>
      <c r="C8" s="102">
        <f t="shared" si="1"/>
        <v>0</v>
      </c>
      <c r="D8" s="102">
        <f t="shared" si="2"/>
        <v>0</v>
      </c>
      <c r="E8" s="102">
        <f t="shared" si="3"/>
        <v>0</v>
      </c>
      <c r="F8" s="102">
        <f t="shared" si="4"/>
        <v>0</v>
      </c>
      <c r="G8" s="102"/>
      <c r="H8" s="102">
        <f t="shared" si="5"/>
        <v>0</v>
      </c>
      <c r="I8" s="102">
        <f t="shared" si="6"/>
        <v>0</v>
      </c>
      <c r="J8" s="102">
        <f t="shared" si="7"/>
        <v>0</v>
      </c>
    </row>
    <row r="9" spans="1:20" x14ac:dyDescent="0.25">
      <c r="A9" t="s">
        <v>530</v>
      </c>
      <c r="B9" s="102">
        <f t="shared" si="0"/>
        <v>249</v>
      </c>
    </row>
    <row r="11" spans="1:20" x14ac:dyDescent="0.25">
      <c r="C11" s="102">
        <f>SUMIFS(NFI_Core_Track,NFI_Org,A9,NFI_State,"Rakhine")</f>
        <v>0</v>
      </c>
      <c r="D11" s="102">
        <f>SUMIFS(NFI_Sanitary_Track,NFI_Org,A9,NFI_State,"Rakhine")</f>
        <v>0</v>
      </c>
      <c r="E11" s="102">
        <f>SUMIFS(NFI_Mosquito_Track,NFI_Org,A9,NFI_State,"Rakhine")</f>
        <v>0</v>
      </c>
      <c r="F11" s="102">
        <f>SUMIFS(NFI_Tarpaulin_Track,NFI_Org,A9,NFI_State,"Rakhine")</f>
        <v>0</v>
      </c>
      <c r="G11" s="102"/>
      <c r="H11" s="102">
        <f>SUMIFS(NFI_Blanket_Track,NFI_Org,A9,NFI_State,"Rakhine")</f>
        <v>0</v>
      </c>
      <c r="I11" s="102">
        <f>SUMIFS(NFI_Kitchen_Track,NFI_Org,A9,NFI_State,"Rakhine")</f>
        <v>0</v>
      </c>
      <c r="J11" s="102">
        <f>SUMIFS(NFI_Complementary_Track,NFI_Org,A9,NFI_State,"Rakhine")</f>
        <v>0</v>
      </c>
    </row>
    <row r="12" spans="1:20" x14ac:dyDescent="0.25">
      <c r="B12" s="102"/>
      <c r="C12" s="102"/>
      <c r="D12" s="102"/>
      <c r="E12" s="102"/>
      <c r="F12" s="102"/>
      <c r="G12" s="102"/>
      <c r="H12" s="102"/>
      <c r="I12" s="102"/>
      <c r="J12" s="102"/>
    </row>
    <row r="20" spans="6:7" x14ac:dyDescent="0.25">
      <c r="F20" s="102"/>
    </row>
    <row r="21" spans="6:7" x14ac:dyDescent="0.25">
      <c r="F21" s="102"/>
    </row>
    <row r="22" spans="6:7" x14ac:dyDescent="0.25">
      <c r="F22" s="102"/>
      <c r="G22"/>
    </row>
    <row r="23" spans="6:7" x14ac:dyDescent="0.25">
      <c r="F23" s="102"/>
      <c r="G23"/>
    </row>
    <row r="24" spans="6:7" x14ac:dyDescent="0.25">
      <c r="F24" s="102"/>
      <c r="G24"/>
    </row>
    <row r="25" spans="6:7" x14ac:dyDescent="0.25">
      <c r="F25" s="102"/>
      <c r="G25"/>
    </row>
    <row r="26" spans="6:7" x14ac:dyDescent="0.25">
      <c r="F26" s="102"/>
      <c r="G26"/>
    </row>
    <row r="27" spans="6:7" x14ac:dyDescent="0.25">
      <c r="F27" s="102"/>
      <c r="G27"/>
    </row>
    <row r="28" spans="6:7" x14ac:dyDescent="0.25">
      <c r="F28" s="102"/>
      <c r="G28"/>
    </row>
    <row r="29" spans="6:7" x14ac:dyDescent="0.25">
      <c r="F29" s="102"/>
      <c r="G29"/>
    </row>
    <row r="30" spans="6:7" x14ac:dyDescent="0.25">
      <c r="F30" s="102"/>
      <c r="G30"/>
    </row>
    <row r="31" spans="6:7" x14ac:dyDescent="0.25">
      <c r="G31"/>
    </row>
    <row r="32" spans="6:7" x14ac:dyDescent="0.25">
      <c r="G32"/>
    </row>
    <row r="33" spans="7:7" x14ac:dyDescent="0.25">
      <c r="G33"/>
    </row>
    <row r="34" spans="7:7" x14ac:dyDescent="0.25">
      <c r="G34"/>
    </row>
    <row r="35" spans="7:7" x14ac:dyDescent="0.25">
      <c r="G35"/>
    </row>
    <row r="36" spans="7:7" x14ac:dyDescent="0.25">
      <c r="G36"/>
    </row>
    <row r="37" spans="7:7" x14ac:dyDescent="0.25">
      <c r="G37"/>
    </row>
    <row r="38" spans="7:7" x14ac:dyDescent="0.25">
      <c r="G38"/>
    </row>
    <row r="39" spans="7:7" x14ac:dyDescent="0.25">
      <c r="G39"/>
    </row>
    <row r="40" spans="7:7" x14ac:dyDescent="0.25">
      <c r="G40"/>
    </row>
    <row r="41" spans="7:7" x14ac:dyDescent="0.25">
      <c r="G41"/>
    </row>
    <row r="42" spans="7:7" x14ac:dyDescent="0.25">
      <c r="G42"/>
    </row>
    <row r="43" spans="7:7" x14ac:dyDescent="0.25">
      <c r="G43"/>
    </row>
    <row r="44" spans="7:7" x14ac:dyDescent="0.25">
      <c r="G44"/>
    </row>
    <row r="45" spans="7:7" x14ac:dyDescent="0.25">
      <c r="G45"/>
    </row>
    <row r="46" spans="7:7" x14ac:dyDescent="0.25">
      <c r="G46"/>
    </row>
    <row r="47" spans="7:7" x14ac:dyDescent="0.25">
      <c r="G47"/>
    </row>
    <row r="48" spans="7:7" x14ac:dyDescent="0.25">
      <c r="G48"/>
    </row>
    <row r="49" spans="7:7" x14ac:dyDescent="0.25">
      <c r="G49"/>
    </row>
    <row r="50" spans="7:7" x14ac:dyDescent="0.25">
      <c r="G50"/>
    </row>
    <row r="51" spans="7:7" x14ac:dyDescent="0.25">
      <c r="G51"/>
    </row>
    <row r="52" spans="7:7" x14ac:dyDescent="0.25">
      <c r="G52"/>
    </row>
    <row r="53" spans="7:7" x14ac:dyDescent="0.25">
      <c r="G53"/>
    </row>
    <row r="54" spans="7:7" x14ac:dyDescent="0.25">
      <c r="G54"/>
    </row>
    <row r="55" spans="7:7" x14ac:dyDescent="0.25">
      <c r="G55"/>
    </row>
    <row r="56" spans="7:7" x14ac:dyDescent="0.25">
      <c r="G56"/>
    </row>
    <row r="57" spans="7:7" x14ac:dyDescent="0.25">
      <c r="G57"/>
    </row>
    <row r="58" spans="7:7" x14ac:dyDescent="0.25">
      <c r="G58"/>
    </row>
    <row r="59" spans="7:7" x14ac:dyDescent="0.25">
      <c r="G59"/>
    </row>
    <row r="60" spans="7:7" x14ac:dyDescent="0.25">
      <c r="G60"/>
    </row>
    <row r="61" spans="7:7" x14ac:dyDescent="0.25">
      <c r="G61"/>
    </row>
    <row r="62" spans="7:7" x14ac:dyDescent="0.25">
      <c r="G62"/>
    </row>
    <row r="63" spans="7:7" x14ac:dyDescent="0.25">
      <c r="G63"/>
    </row>
    <row r="64" spans="7:7" x14ac:dyDescent="0.25">
      <c r="G64"/>
    </row>
    <row r="65" spans="7:7" x14ac:dyDescent="0.25">
      <c r="G65"/>
    </row>
    <row r="66" spans="7:7" x14ac:dyDescent="0.25">
      <c r="G66"/>
    </row>
    <row r="67" spans="7:7" x14ac:dyDescent="0.25">
      <c r="G67"/>
    </row>
    <row r="68" spans="7:7" x14ac:dyDescent="0.25">
      <c r="G68"/>
    </row>
    <row r="69" spans="7:7" x14ac:dyDescent="0.25">
      <c r="G69"/>
    </row>
    <row r="70" spans="7:7" x14ac:dyDescent="0.25">
      <c r="G70"/>
    </row>
    <row r="71" spans="7:7" x14ac:dyDescent="0.25">
      <c r="G71"/>
    </row>
    <row r="72" spans="7:7" x14ac:dyDescent="0.25">
      <c r="G72"/>
    </row>
    <row r="73" spans="7:7" x14ac:dyDescent="0.25">
      <c r="G73"/>
    </row>
    <row r="74" spans="7:7" x14ac:dyDescent="0.25">
      <c r="G74"/>
    </row>
    <row r="75" spans="7:7" x14ac:dyDescent="0.25">
      <c r="G75"/>
    </row>
    <row r="76" spans="7:7" x14ac:dyDescent="0.25">
      <c r="G76"/>
    </row>
    <row r="77" spans="7:7" x14ac:dyDescent="0.25">
      <c r="G77"/>
    </row>
    <row r="78" spans="7:7" x14ac:dyDescent="0.25">
      <c r="G78"/>
    </row>
    <row r="79" spans="7:7" x14ac:dyDescent="0.25">
      <c r="G79"/>
    </row>
    <row r="80" spans="7:7" x14ac:dyDescent="0.25">
      <c r="G80"/>
    </row>
    <row r="81" spans="7:7" x14ac:dyDescent="0.25">
      <c r="G81"/>
    </row>
    <row r="82" spans="7:7" x14ac:dyDescent="0.25">
      <c r="G82"/>
    </row>
    <row r="83" spans="7:7" x14ac:dyDescent="0.25">
      <c r="G83"/>
    </row>
    <row r="84" spans="7:7" x14ac:dyDescent="0.25">
      <c r="G84"/>
    </row>
    <row r="85" spans="7:7" x14ac:dyDescent="0.25">
      <c r="G85"/>
    </row>
    <row r="86" spans="7:7" x14ac:dyDescent="0.25">
      <c r="G86"/>
    </row>
    <row r="87" spans="7:7" x14ac:dyDescent="0.25">
      <c r="G87"/>
    </row>
    <row r="88" spans="7:7" x14ac:dyDescent="0.25">
      <c r="G88"/>
    </row>
    <row r="89" spans="7:7" x14ac:dyDescent="0.25">
      <c r="G89"/>
    </row>
    <row r="90" spans="7:7" x14ac:dyDescent="0.25">
      <c r="G90"/>
    </row>
    <row r="91" spans="7:7" x14ac:dyDescent="0.25">
      <c r="G91"/>
    </row>
    <row r="92" spans="7:7" x14ac:dyDescent="0.25">
      <c r="G92"/>
    </row>
    <row r="93" spans="7:7" x14ac:dyDescent="0.25">
      <c r="G93"/>
    </row>
    <row r="94" spans="7:7" x14ac:dyDescent="0.25">
      <c r="G94"/>
    </row>
    <row r="95" spans="7:7" x14ac:dyDescent="0.25">
      <c r="G95"/>
    </row>
    <row r="96" spans="7:7" x14ac:dyDescent="0.25">
      <c r="G96"/>
    </row>
    <row r="97" spans="7:7" x14ac:dyDescent="0.25">
      <c r="G97"/>
    </row>
    <row r="98" spans="7:7" x14ac:dyDescent="0.25">
      <c r="G98"/>
    </row>
    <row r="99" spans="7:7" x14ac:dyDescent="0.25">
      <c r="G99"/>
    </row>
    <row r="100" spans="7:7" x14ac:dyDescent="0.25">
      <c r="G100"/>
    </row>
    <row r="101" spans="7:7" x14ac:dyDescent="0.25">
      <c r="G101"/>
    </row>
    <row r="102" spans="7:7" x14ac:dyDescent="0.25">
      <c r="G102"/>
    </row>
    <row r="103" spans="7:7" x14ac:dyDescent="0.25">
      <c r="G103"/>
    </row>
    <row r="104" spans="7:7" x14ac:dyDescent="0.25">
      <c r="G104"/>
    </row>
    <row r="105" spans="7:7" x14ac:dyDescent="0.25">
      <c r="G105"/>
    </row>
    <row r="106" spans="7:7" x14ac:dyDescent="0.25">
      <c r="G106"/>
    </row>
    <row r="107" spans="7:7" x14ac:dyDescent="0.25">
      <c r="G107"/>
    </row>
    <row r="108" spans="7:7" x14ac:dyDescent="0.25">
      <c r="G108"/>
    </row>
    <row r="109" spans="7:7" x14ac:dyDescent="0.25">
      <c r="G109"/>
    </row>
    <row r="110" spans="7:7" x14ac:dyDescent="0.25">
      <c r="G110"/>
    </row>
    <row r="111" spans="7:7" x14ac:dyDescent="0.25">
      <c r="G111"/>
    </row>
    <row r="112" spans="7:7" x14ac:dyDescent="0.25">
      <c r="G112"/>
    </row>
    <row r="113" spans="7:7" x14ac:dyDescent="0.25">
      <c r="G113"/>
    </row>
    <row r="114" spans="7:7" x14ac:dyDescent="0.25">
      <c r="G114"/>
    </row>
    <row r="115" spans="7:7" x14ac:dyDescent="0.25">
      <c r="G115"/>
    </row>
    <row r="116" spans="7:7" x14ac:dyDescent="0.25">
      <c r="G116"/>
    </row>
    <row r="117" spans="7:7" x14ac:dyDescent="0.25">
      <c r="G117"/>
    </row>
    <row r="118" spans="7:7" x14ac:dyDescent="0.25">
      <c r="G118"/>
    </row>
    <row r="119" spans="7:7" x14ac:dyDescent="0.25">
      <c r="G119"/>
    </row>
    <row r="120" spans="7:7" x14ac:dyDescent="0.25">
      <c r="G120"/>
    </row>
    <row r="121" spans="7:7" x14ac:dyDescent="0.25">
      <c r="G121"/>
    </row>
    <row r="122" spans="7:7" x14ac:dyDescent="0.25">
      <c r="G122"/>
    </row>
    <row r="123" spans="7:7" x14ac:dyDescent="0.25">
      <c r="G123"/>
    </row>
    <row r="124" spans="7:7" x14ac:dyDescent="0.25">
      <c r="G124"/>
    </row>
    <row r="125" spans="7:7" x14ac:dyDescent="0.25">
      <c r="G125"/>
    </row>
    <row r="126" spans="7:7" x14ac:dyDescent="0.25">
      <c r="G126"/>
    </row>
    <row r="127" spans="7:7" x14ac:dyDescent="0.25">
      <c r="G127"/>
    </row>
    <row r="128" spans="7:7" x14ac:dyDescent="0.25">
      <c r="G128"/>
    </row>
    <row r="129" spans="7:7" x14ac:dyDescent="0.25">
      <c r="G129"/>
    </row>
    <row r="130" spans="7:7" x14ac:dyDescent="0.25">
      <c r="G130"/>
    </row>
    <row r="131" spans="7:7" x14ac:dyDescent="0.25">
      <c r="G131"/>
    </row>
    <row r="132" spans="7:7" x14ac:dyDescent="0.25">
      <c r="G132"/>
    </row>
    <row r="133" spans="7:7" x14ac:dyDescent="0.25">
      <c r="G133"/>
    </row>
    <row r="134" spans="7:7" x14ac:dyDescent="0.25">
      <c r="G134"/>
    </row>
    <row r="135" spans="7:7" x14ac:dyDescent="0.25">
      <c r="G135"/>
    </row>
    <row r="136" spans="7:7" x14ac:dyDescent="0.25">
      <c r="G136"/>
    </row>
    <row r="137" spans="7:7" x14ac:dyDescent="0.25">
      <c r="G137"/>
    </row>
    <row r="138" spans="7:7" x14ac:dyDescent="0.25">
      <c r="G138"/>
    </row>
    <row r="139" spans="7:7" x14ac:dyDescent="0.25">
      <c r="G139"/>
    </row>
    <row r="140" spans="7:7" x14ac:dyDescent="0.25">
      <c r="G140"/>
    </row>
    <row r="141" spans="7:7" x14ac:dyDescent="0.25">
      <c r="G141"/>
    </row>
    <row r="142" spans="7:7" x14ac:dyDescent="0.25">
      <c r="G142"/>
    </row>
    <row r="143" spans="7:7" x14ac:dyDescent="0.25">
      <c r="G143"/>
    </row>
    <row r="144" spans="7:7" x14ac:dyDescent="0.25">
      <c r="G144"/>
    </row>
    <row r="145" spans="7:7" x14ac:dyDescent="0.25">
      <c r="G145"/>
    </row>
    <row r="146" spans="7:7" x14ac:dyDescent="0.25">
      <c r="G146"/>
    </row>
    <row r="147" spans="7:7" x14ac:dyDescent="0.25">
      <c r="G147"/>
    </row>
    <row r="148" spans="7:7" x14ac:dyDescent="0.25">
      <c r="G148"/>
    </row>
    <row r="149" spans="7:7" x14ac:dyDescent="0.25">
      <c r="G149"/>
    </row>
    <row r="150" spans="7:7" x14ac:dyDescent="0.25">
      <c r="G150"/>
    </row>
    <row r="151" spans="7:7" x14ac:dyDescent="0.25">
      <c r="G151"/>
    </row>
    <row r="152" spans="7:7" x14ac:dyDescent="0.25">
      <c r="G152"/>
    </row>
    <row r="153" spans="7:7" x14ac:dyDescent="0.25">
      <c r="G153"/>
    </row>
    <row r="154" spans="7:7" x14ac:dyDescent="0.25">
      <c r="G154"/>
    </row>
    <row r="155" spans="7:7" x14ac:dyDescent="0.25">
      <c r="G155"/>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BG252"/>
  <sheetViews>
    <sheetView showZeros="0" zoomScale="90" zoomScaleNormal="90" workbookViewId="0">
      <pane ySplit="2" topLeftCell="A3" activePane="bottomLeft" state="frozen"/>
      <selection pane="bottomLeft" activeCell="C55" sqref="C55"/>
    </sheetView>
  </sheetViews>
  <sheetFormatPr defaultRowHeight="15" x14ac:dyDescent="0.25"/>
  <cols>
    <col min="1" max="1" width="13.28515625" customWidth="1"/>
    <col min="2" max="2" width="19.85546875" customWidth="1"/>
    <col min="3" max="3" width="16" customWidth="1"/>
    <col min="4" max="4" width="17.85546875" customWidth="1"/>
    <col min="5" max="5" width="14.42578125" customWidth="1"/>
    <col min="6" max="6" width="15.85546875" bestFit="1" customWidth="1"/>
    <col min="7" max="7" width="11.85546875" bestFit="1" customWidth="1"/>
    <col min="8" max="8" width="10.5703125" bestFit="1" customWidth="1"/>
    <col min="9" max="9" width="13.140625" customWidth="1"/>
    <col min="10" max="10" width="8.42578125" customWidth="1"/>
    <col min="11" max="11" width="10.5703125" customWidth="1"/>
    <col min="12" max="12" width="12" hidden="1" customWidth="1"/>
    <col min="13" max="13" width="16.85546875" hidden="1" customWidth="1"/>
    <col min="14" max="14" width="26.28515625" hidden="1" customWidth="1"/>
    <col min="15" max="15" width="21.85546875" hidden="1" customWidth="1"/>
    <col min="16" max="16" width="17" hidden="1" customWidth="1"/>
    <col min="17" max="20" width="10.85546875" hidden="1" customWidth="1"/>
    <col min="21" max="21" width="14.7109375" hidden="1" customWidth="1"/>
    <col min="22" max="22" width="11.28515625" hidden="1" customWidth="1"/>
    <col min="23" max="24" width="0" hidden="1" customWidth="1"/>
    <col min="25" max="25" width="5.28515625" hidden="1" customWidth="1"/>
    <col min="26" max="26" width="12.42578125" hidden="1" customWidth="1"/>
  </cols>
  <sheetData>
    <row r="1" spans="1:59" s="1" customFormat="1" ht="36" x14ac:dyDescent="0.25">
      <c r="A1" s="207"/>
      <c r="B1" s="208"/>
      <c r="C1" s="208"/>
      <c r="D1" s="208"/>
      <c r="E1" s="208"/>
      <c r="F1" s="208"/>
      <c r="G1" s="208"/>
      <c r="H1" s="208"/>
      <c r="I1" s="208"/>
      <c r="J1" s="208"/>
      <c r="K1" s="224"/>
      <c r="L1" s="79"/>
      <c r="M1" s="79"/>
      <c r="N1" s="79"/>
      <c r="O1" s="79"/>
      <c r="P1" s="79"/>
      <c r="Q1" s="79"/>
      <c r="R1" s="79"/>
      <c r="S1" s="79"/>
      <c r="T1" s="79"/>
      <c r="U1" s="79"/>
      <c r="V1" s="79"/>
      <c r="W1" s="79"/>
      <c r="X1" s="79"/>
      <c r="Y1" s="79"/>
      <c r="Z1" s="79"/>
      <c r="BF1" s="80"/>
      <c r="BG1" s="80"/>
    </row>
    <row r="2" spans="1:59" s="1" customFormat="1" ht="33" customHeight="1" x14ac:dyDescent="0.35">
      <c r="A2" s="766" t="s">
        <v>312</v>
      </c>
      <c r="B2" s="767"/>
      <c r="C2" s="767"/>
      <c r="D2" s="767"/>
      <c r="E2" s="767"/>
      <c r="F2" s="767"/>
      <c r="G2" s="767"/>
      <c r="H2" s="767"/>
      <c r="I2" s="104"/>
      <c r="J2" s="104"/>
      <c r="K2" s="282"/>
      <c r="L2" s="281"/>
      <c r="M2" s="281"/>
      <c r="N2" s="281"/>
      <c r="O2" s="48"/>
      <c r="V2" s="102"/>
      <c r="W2" s="102"/>
      <c r="X2" s="102"/>
      <c r="Y2" s="102"/>
      <c r="Z2" s="102"/>
      <c r="AA2" s="102"/>
      <c r="AB2" s="102"/>
      <c r="AC2" s="102"/>
      <c r="AD2" s="102"/>
      <c r="AE2" s="102"/>
      <c r="AF2" s="102"/>
      <c r="AG2" s="102"/>
      <c r="AH2" s="102"/>
      <c r="AI2" s="102"/>
      <c r="AJ2" s="102"/>
      <c r="AK2" s="102"/>
      <c r="AL2" s="102"/>
      <c r="AM2" s="102"/>
      <c r="AN2" s="102"/>
      <c r="AO2" s="102"/>
      <c r="AP2" s="102"/>
      <c r="AZ2" s="80"/>
      <c r="BA2" s="80"/>
    </row>
    <row r="3" spans="1:59" s="21" customFormat="1" ht="25.5" customHeight="1" x14ac:dyDescent="0.35">
      <c r="A3" s="768">
        <f>Report_Date</f>
        <v>42339</v>
      </c>
      <c r="B3" s="769"/>
      <c r="C3" s="769"/>
      <c r="D3" s="769"/>
      <c r="E3" s="769"/>
      <c r="F3" s="769"/>
      <c r="G3" s="769"/>
      <c r="H3" s="769"/>
      <c r="I3" s="235"/>
      <c r="J3" s="235"/>
      <c r="K3" s="236"/>
      <c r="L3" s="104"/>
      <c r="M3" s="104"/>
      <c r="N3" s="104"/>
      <c r="O3" s="48"/>
      <c r="W3" s="102"/>
      <c r="X3" s="102"/>
      <c r="Y3" s="102"/>
      <c r="Z3" s="102"/>
      <c r="AA3" s="102"/>
      <c r="AB3" s="102"/>
      <c r="AC3" s="102"/>
      <c r="AD3" s="102"/>
      <c r="AE3" s="102"/>
      <c r="AF3" s="102"/>
      <c r="AG3" s="102"/>
      <c r="AH3" s="102"/>
      <c r="AI3" s="102"/>
      <c r="AJ3" s="102"/>
      <c r="AK3" s="102"/>
      <c r="AL3" s="102"/>
      <c r="AM3" s="102"/>
      <c r="AN3" s="102"/>
      <c r="AO3" s="102"/>
      <c r="AP3" s="102"/>
      <c r="AZ3" s="81"/>
      <c r="BA3" s="81"/>
    </row>
    <row r="4" spans="1:59" ht="10.5" customHeight="1" x14ac:dyDescent="0.25"/>
    <row r="5" spans="1:59" ht="25.5" customHeight="1" x14ac:dyDescent="0.25">
      <c r="A5" s="851" t="s">
        <v>1</v>
      </c>
      <c r="B5" s="851" t="s">
        <v>225</v>
      </c>
      <c r="C5" s="851" t="s">
        <v>226</v>
      </c>
      <c r="D5" s="112" t="s">
        <v>335</v>
      </c>
      <c r="E5" s="112" t="s">
        <v>311</v>
      </c>
      <c r="F5" s="112" t="s">
        <v>230</v>
      </c>
      <c r="G5" s="112" t="s">
        <v>231</v>
      </c>
      <c r="H5" s="112" t="s">
        <v>340</v>
      </c>
      <c r="I5" s="112" t="s">
        <v>596</v>
      </c>
      <c r="J5" s="112" t="s">
        <v>978</v>
      </c>
      <c r="K5" s="740" t="s">
        <v>597</v>
      </c>
    </row>
    <row r="6" spans="1:59" ht="36.75" customHeight="1" x14ac:dyDescent="0.25">
      <c r="A6" s="851"/>
      <c r="B6" s="851"/>
      <c r="C6" s="851"/>
      <c r="D6" s="112" t="s">
        <v>232</v>
      </c>
      <c r="E6" s="112" t="s">
        <v>232</v>
      </c>
      <c r="F6" s="112" t="s">
        <v>232</v>
      </c>
      <c r="G6" s="112" t="s">
        <v>232</v>
      </c>
      <c r="H6" s="112" t="s">
        <v>232</v>
      </c>
      <c r="I6" s="112" t="s">
        <v>232</v>
      </c>
      <c r="J6" s="112" t="s">
        <v>232</v>
      </c>
      <c r="K6" s="740" t="s">
        <v>232</v>
      </c>
    </row>
    <row r="7" spans="1:59" x14ac:dyDescent="0.25">
      <c r="A7" s="283" t="s">
        <v>17</v>
      </c>
      <c r="B7" s="284">
        <f>SUMIF(Camplist_Township,'NFI Distribution (by Tship)'!$A7,Camplist_HH)</f>
        <v>492</v>
      </c>
      <c r="C7" s="284">
        <f>SUMIF(Camplist_Township,'NFI Distribution (by Tship)'!$A7,Camplist_Popl)</f>
        <v>1601</v>
      </c>
      <c r="D7" s="284">
        <f t="shared" ref="D7:D16" si="0">SUMIF(NFI_Township,$A7,NFI_Mosquito_Track)</f>
        <v>0</v>
      </c>
      <c r="E7" s="284">
        <f t="shared" ref="E7:E16" si="1">SUMIF(NFI_Township,$A7,NFI_Tarpaulin_Track)</f>
        <v>0</v>
      </c>
      <c r="F7" s="284">
        <f t="shared" ref="F7:F16" si="2">SUMIF(NFI_Township,$A7,NFI_Blanket_Track)</f>
        <v>0</v>
      </c>
      <c r="G7" s="284">
        <f t="shared" ref="G7:G16" si="3">SUMIF(NFI_Township,$A7,NFI_Kitchen_Track)</f>
        <v>0</v>
      </c>
      <c r="H7" s="284">
        <f t="shared" ref="H7:H16" si="4">SUMIF(NFI_Township,$A7,NFI_Complementary_Track)</f>
        <v>0</v>
      </c>
      <c r="I7" s="284">
        <f t="shared" ref="I7:I16" si="5">SUMIF(NFI_Township,$A7,NFI_Plastic_Bucket_Track)</f>
        <v>0</v>
      </c>
      <c r="J7" s="284">
        <f t="shared" ref="J7:J16" si="6">SUMIF(NFI_Township,$A7,NFI_JerryCan_Track)</f>
        <v>0</v>
      </c>
      <c r="K7" s="284">
        <f t="shared" ref="K7:K16" si="7">SUMIF(NFI_Township,$A7,NFI_Plastic_Mat_Track)</f>
        <v>0</v>
      </c>
    </row>
    <row r="8" spans="1:59" x14ac:dyDescent="0.25">
      <c r="A8" s="283" t="s">
        <v>15</v>
      </c>
      <c r="B8" s="284">
        <f>SUMIF(Camplist_Township,'NFI Distribution (by Tship)'!$A8,Camplist_HH)</f>
        <v>1001</v>
      </c>
      <c r="C8" s="284">
        <f>SUMIF(Camplist_Township,'NFI Distribution (by Tship)'!$A8,Camplist_Popl)</f>
        <v>6512</v>
      </c>
      <c r="D8" s="284">
        <f t="shared" si="0"/>
        <v>0</v>
      </c>
      <c r="E8" s="284">
        <f t="shared" si="1"/>
        <v>876</v>
      </c>
      <c r="F8" s="284">
        <f t="shared" si="2"/>
        <v>0</v>
      </c>
      <c r="G8" s="284">
        <f t="shared" si="3"/>
        <v>0</v>
      </c>
      <c r="H8" s="284">
        <f t="shared" si="4"/>
        <v>0</v>
      </c>
      <c r="I8" s="284">
        <f t="shared" si="5"/>
        <v>0</v>
      </c>
      <c r="J8" s="284">
        <f t="shared" si="6"/>
        <v>0</v>
      </c>
      <c r="K8" s="284">
        <f t="shared" si="7"/>
        <v>0</v>
      </c>
    </row>
    <row r="9" spans="1:59" x14ac:dyDescent="0.25">
      <c r="A9" s="283" t="s">
        <v>20</v>
      </c>
      <c r="B9" s="284">
        <f>SUMIF(Camplist_Township,'NFI Distribution (by Tship)'!$A9,Camplist_HH)</f>
        <v>219</v>
      </c>
      <c r="C9" s="284">
        <f>SUMIF(Camplist_Township,'NFI Distribution (by Tship)'!$A9,Camplist_Popl)</f>
        <v>1400</v>
      </c>
      <c r="D9" s="284">
        <f t="shared" si="0"/>
        <v>1834</v>
      </c>
      <c r="E9" s="284">
        <f t="shared" si="1"/>
        <v>0</v>
      </c>
      <c r="F9" s="284">
        <f t="shared" si="2"/>
        <v>1834</v>
      </c>
      <c r="G9" s="284">
        <f t="shared" si="3"/>
        <v>561</v>
      </c>
      <c r="H9" s="284">
        <f t="shared" si="4"/>
        <v>0</v>
      </c>
      <c r="I9" s="284">
        <f t="shared" si="5"/>
        <v>918</v>
      </c>
      <c r="J9" s="284">
        <f t="shared" si="6"/>
        <v>134</v>
      </c>
      <c r="K9" s="284">
        <f t="shared" si="7"/>
        <v>6762.5</v>
      </c>
    </row>
    <row r="10" spans="1:59" x14ac:dyDescent="0.25">
      <c r="A10" s="285" t="s">
        <v>915</v>
      </c>
      <c r="B10" s="284">
        <f>SUMIF(Camplist_Township,'NFI Distribution (by Tship)'!$A10,Camplist_HH)</f>
        <v>724</v>
      </c>
      <c r="C10" s="284">
        <f>SUMIF(Camplist_Township,'NFI Distribution (by Tship)'!$A10,Camplist_Popl)</f>
        <v>3013</v>
      </c>
      <c r="D10" s="284">
        <f t="shared" si="0"/>
        <v>0</v>
      </c>
      <c r="E10" s="284">
        <f t="shared" si="1"/>
        <v>0</v>
      </c>
      <c r="F10" s="284">
        <f t="shared" si="2"/>
        <v>0</v>
      </c>
      <c r="G10" s="284">
        <f t="shared" si="3"/>
        <v>0</v>
      </c>
      <c r="H10" s="284">
        <f t="shared" si="4"/>
        <v>0</v>
      </c>
      <c r="I10" s="284">
        <f t="shared" si="5"/>
        <v>0</v>
      </c>
      <c r="J10" s="284">
        <f t="shared" si="6"/>
        <v>0</v>
      </c>
      <c r="K10" s="284">
        <f t="shared" si="7"/>
        <v>0</v>
      </c>
    </row>
    <row r="11" spans="1:59" x14ac:dyDescent="0.25">
      <c r="A11" s="283" t="s">
        <v>11</v>
      </c>
      <c r="B11" s="284">
        <f>SUMIF(Camplist_Township,'NFI Distribution (by Tship)'!$A11,Camplist_HH)</f>
        <v>911</v>
      </c>
      <c r="C11" s="284">
        <f>SUMIF(Camplist_Township,'NFI Distribution (by Tship)'!$A11,Camplist_Popl)</f>
        <v>5638</v>
      </c>
      <c r="D11" s="284">
        <f t="shared" si="0"/>
        <v>0</v>
      </c>
      <c r="E11" s="284">
        <f t="shared" si="1"/>
        <v>879</v>
      </c>
      <c r="F11" s="284">
        <f t="shared" si="2"/>
        <v>0</v>
      </c>
      <c r="G11" s="284">
        <f t="shared" si="3"/>
        <v>0</v>
      </c>
      <c r="H11" s="284">
        <f t="shared" si="4"/>
        <v>0</v>
      </c>
      <c r="I11" s="284">
        <f t="shared" si="5"/>
        <v>0</v>
      </c>
      <c r="J11" s="284">
        <f t="shared" si="6"/>
        <v>0</v>
      </c>
      <c r="K11" s="284">
        <f t="shared" si="7"/>
        <v>0</v>
      </c>
    </row>
    <row r="12" spans="1:59" x14ac:dyDescent="0.25">
      <c r="A12" s="283" t="s">
        <v>12</v>
      </c>
      <c r="B12" s="284">
        <f>SUMIF(Camplist_Township,'NFI Distribution (by Tship)'!$A12,Camplist_HH)</f>
        <v>610</v>
      </c>
      <c r="C12" s="284">
        <f>SUMIF(Camplist_Township,'NFI Distribution (by Tship)'!$A12,Camplist_Popl)</f>
        <v>3826</v>
      </c>
      <c r="D12" s="284">
        <f t="shared" si="0"/>
        <v>0</v>
      </c>
      <c r="E12" s="284">
        <f t="shared" si="1"/>
        <v>111</v>
      </c>
      <c r="F12" s="284">
        <f t="shared" si="2"/>
        <v>0</v>
      </c>
      <c r="G12" s="284">
        <f t="shared" si="3"/>
        <v>0</v>
      </c>
      <c r="H12" s="284">
        <f t="shared" si="4"/>
        <v>0</v>
      </c>
      <c r="I12" s="284">
        <f t="shared" si="5"/>
        <v>0</v>
      </c>
      <c r="J12" s="284">
        <f t="shared" si="6"/>
        <v>0</v>
      </c>
      <c r="K12" s="284">
        <f t="shared" si="7"/>
        <v>0</v>
      </c>
    </row>
    <row r="13" spans="1:59" x14ac:dyDescent="0.25">
      <c r="A13" s="285" t="s">
        <v>14</v>
      </c>
      <c r="B13" s="284">
        <f>SUMIF(Camplist_Township,'NFI Distribution (by Tship)'!$A13,Camplist_HH)</f>
        <v>4684</v>
      </c>
      <c r="C13" s="284">
        <f>SUMIF(Camplist_Township,'NFI Distribution (by Tship)'!$A13,Camplist_Popl)</f>
        <v>19545</v>
      </c>
      <c r="D13" s="284">
        <f t="shared" si="0"/>
        <v>5527</v>
      </c>
      <c r="E13" s="284">
        <f t="shared" si="1"/>
        <v>1982</v>
      </c>
      <c r="F13" s="284">
        <f t="shared" si="2"/>
        <v>3964</v>
      </c>
      <c r="G13" s="284">
        <f t="shared" si="3"/>
        <v>1982</v>
      </c>
      <c r="H13" s="284">
        <f t="shared" si="4"/>
        <v>0</v>
      </c>
      <c r="I13" s="284">
        <f t="shared" si="5"/>
        <v>1964</v>
      </c>
      <c r="J13" s="284">
        <f t="shared" si="6"/>
        <v>1982</v>
      </c>
      <c r="K13" s="284">
        <f t="shared" si="7"/>
        <v>24775</v>
      </c>
    </row>
    <row r="14" spans="1:59" x14ac:dyDescent="0.25">
      <c r="A14" s="283" t="s">
        <v>18</v>
      </c>
      <c r="B14" s="284">
        <f>SUMIF(Camplist_Township,'NFI Distribution (by Tship)'!$A14,Camplist_HH)</f>
        <v>78</v>
      </c>
      <c r="C14" s="284">
        <f>SUMIF(Camplist_Township,'NFI Distribution (by Tship)'!$A14,Camplist_Popl)</f>
        <v>264</v>
      </c>
      <c r="D14" s="284">
        <f t="shared" si="0"/>
        <v>0</v>
      </c>
      <c r="E14" s="284">
        <f t="shared" si="1"/>
        <v>0</v>
      </c>
      <c r="F14" s="284">
        <f t="shared" si="2"/>
        <v>0</v>
      </c>
      <c r="G14" s="284">
        <f t="shared" si="3"/>
        <v>0</v>
      </c>
      <c r="H14" s="284">
        <f t="shared" si="4"/>
        <v>0</v>
      </c>
      <c r="I14" s="284">
        <f t="shared" si="5"/>
        <v>0</v>
      </c>
      <c r="J14" s="284">
        <f t="shared" si="6"/>
        <v>0</v>
      </c>
      <c r="K14" s="284">
        <f t="shared" si="7"/>
        <v>0</v>
      </c>
    </row>
    <row r="15" spans="1:59" x14ac:dyDescent="0.25">
      <c r="A15" s="283" t="s">
        <v>16</v>
      </c>
      <c r="B15" s="284">
        <f>SUMIF(Camplist_Township,'NFI Distribution (by Tship)'!$A15,Camplist_HH)</f>
        <v>747</v>
      </c>
      <c r="C15" s="284">
        <f>SUMIF(Camplist_Township,'NFI Distribution (by Tship)'!$A15,Camplist_Popl)</f>
        <v>4055</v>
      </c>
      <c r="D15" s="284">
        <f t="shared" si="0"/>
        <v>14</v>
      </c>
      <c r="E15" s="284">
        <f t="shared" si="1"/>
        <v>451</v>
      </c>
      <c r="F15" s="284">
        <f t="shared" si="2"/>
        <v>1248</v>
      </c>
      <c r="G15" s="284">
        <f t="shared" si="3"/>
        <v>5</v>
      </c>
      <c r="H15" s="284">
        <f>SUMIF(NFI_Township,$A15,NFI_Complementary_Track)</f>
        <v>0</v>
      </c>
      <c r="I15" s="284">
        <f t="shared" si="5"/>
        <v>624</v>
      </c>
      <c r="J15" s="284">
        <f t="shared" si="6"/>
        <v>7</v>
      </c>
      <c r="K15" s="284">
        <f t="shared" si="7"/>
        <v>5377.5</v>
      </c>
    </row>
    <row r="16" spans="1:59" x14ac:dyDescent="0.25">
      <c r="A16" s="283" t="s">
        <v>19</v>
      </c>
      <c r="B16" s="284">
        <f>SUMIF(Camplist_Township,'NFI Distribution (by Tship)'!$A16,Camplist_HH)</f>
        <v>18549</v>
      </c>
      <c r="C16" s="284">
        <f>SUMIF(Camplist_Township,'NFI Distribution (by Tship)'!$A16,Camplist_Popl)</f>
        <v>99208</v>
      </c>
      <c r="D16" s="284">
        <f t="shared" si="0"/>
        <v>14944</v>
      </c>
      <c r="E16" s="284">
        <f t="shared" si="1"/>
        <v>7473</v>
      </c>
      <c r="F16" s="284">
        <f t="shared" si="2"/>
        <v>16542</v>
      </c>
      <c r="G16" s="284">
        <f t="shared" si="3"/>
        <v>7473</v>
      </c>
      <c r="H16" s="284">
        <f t="shared" si="4"/>
        <v>509</v>
      </c>
      <c r="I16" s="284">
        <f t="shared" si="5"/>
        <v>7473</v>
      </c>
      <c r="J16" s="284">
        <f t="shared" si="6"/>
        <v>7472</v>
      </c>
      <c r="K16" s="284">
        <f t="shared" si="7"/>
        <v>93412.5</v>
      </c>
    </row>
    <row r="17" spans="1:26" x14ac:dyDescent="0.25">
      <c r="A17" s="117" t="s">
        <v>5</v>
      </c>
      <c r="B17" s="118">
        <f t="shared" ref="B17:I17" si="8">SUM(B7:B16)</f>
        <v>28015</v>
      </c>
      <c r="C17" s="118">
        <f t="shared" si="8"/>
        <v>145062</v>
      </c>
      <c r="D17" s="118">
        <f t="shared" si="8"/>
        <v>22319</v>
      </c>
      <c r="E17" s="118">
        <f t="shared" si="8"/>
        <v>11772</v>
      </c>
      <c r="F17" s="118">
        <f t="shared" si="8"/>
        <v>23588</v>
      </c>
      <c r="G17" s="118">
        <f t="shared" si="8"/>
        <v>10021</v>
      </c>
      <c r="H17" s="118">
        <f t="shared" si="8"/>
        <v>509</v>
      </c>
      <c r="I17" s="118">
        <f t="shared" si="8"/>
        <v>10979</v>
      </c>
      <c r="J17" s="118">
        <f>SUM(J7:J16)</f>
        <v>9595</v>
      </c>
      <c r="K17" s="118">
        <f>SUM(K7:K16)</f>
        <v>130327.5</v>
      </c>
    </row>
    <row r="18" spans="1:26" ht="15" hidden="1" customHeight="1" x14ac:dyDescent="0.25">
      <c r="A18" s="119"/>
      <c r="B18" s="119"/>
      <c r="C18" s="119"/>
      <c r="D18" s="119"/>
      <c r="E18" s="119"/>
      <c r="F18" s="119"/>
      <c r="G18" s="119"/>
      <c r="H18" s="119"/>
      <c r="I18" s="119"/>
      <c r="J18" s="119"/>
      <c r="K18" s="102"/>
    </row>
    <row r="19" spans="1:26" s="102" customFormat="1" ht="31.5" hidden="1" customHeight="1" x14ac:dyDescent="0.5">
      <c r="A19" s="120" t="s">
        <v>7</v>
      </c>
      <c r="B19" s="121"/>
      <c r="C19" s="121"/>
      <c r="D19" s="121"/>
      <c r="E19" s="121"/>
      <c r="F19" s="121"/>
      <c r="G19" s="121"/>
      <c r="H19" s="121"/>
      <c r="I19" s="121"/>
      <c r="J19" s="121"/>
      <c r="L19" s="78"/>
      <c r="M19" s="78"/>
      <c r="N19" s="78"/>
      <c r="O19" s="78"/>
      <c r="P19" s="78"/>
      <c r="Q19" s="78"/>
      <c r="R19" s="78"/>
      <c r="S19" s="78"/>
      <c r="T19" s="78"/>
      <c r="U19" s="78"/>
      <c r="V19" s="78"/>
      <c r="W19" s="78"/>
      <c r="X19" s="78"/>
      <c r="Y19" s="78"/>
      <c r="Z19" s="78"/>
    </row>
    <row r="20" spans="1:26" s="102" customFormat="1" ht="24" hidden="1" customHeight="1" x14ac:dyDescent="0.25">
      <c r="A20" s="851" t="s">
        <v>1</v>
      </c>
      <c r="B20" s="851" t="s">
        <v>225</v>
      </c>
      <c r="C20" s="851" t="s">
        <v>226</v>
      </c>
      <c r="D20" s="855" t="s">
        <v>309</v>
      </c>
      <c r="E20" s="856"/>
      <c r="F20" s="856"/>
      <c r="G20" s="857"/>
      <c r="H20" s="122" t="s">
        <v>204</v>
      </c>
      <c r="I20" s="123"/>
      <c r="J20" s="123"/>
      <c r="L20" s="852" t="s">
        <v>310</v>
      </c>
      <c r="M20" s="853"/>
      <c r="N20" s="853"/>
      <c r="O20" s="854"/>
    </row>
    <row r="21" spans="1:26" s="102" customFormat="1" ht="15" hidden="1" customHeight="1" x14ac:dyDescent="0.25">
      <c r="A21" s="851"/>
      <c r="B21" s="851"/>
      <c r="C21" s="851"/>
      <c r="D21" s="112" t="s">
        <v>232</v>
      </c>
      <c r="E21" s="112" t="s">
        <v>235</v>
      </c>
      <c r="F21" s="112" t="s">
        <v>210</v>
      </c>
      <c r="G21" s="124" t="s">
        <v>233</v>
      </c>
      <c r="H21" s="112" t="s">
        <v>232</v>
      </c>
      <c r="I21" s="112" t="s">
        <v>235</v>
      </c>
      <c r="J21" s="112" t="s">
        <v>210</v>
      </c>
      <c r="L21" s="109" t="s">
        <v>232</v>
      </c>
      <c r="M21" s="109" t="s">
        <v>235</v>
      </c>
      <c r="N21" s="109" t="s">
        <v>210</v>
      </c>
      <c r="O21" s="18" t="s">
        <v>233</v>
      </c>
    </row>
    <row r="22" spans="1:26" s="102" customFormat="1" ht="15" hidden="1" customHeight="1" x14ac:dyDescent="0.25">
      <c r="A22" s="113" t="s">
        <v>17</v>
      </c>
      <c r="B22" s="125">
        <f>SUMIF(Camplist_Township,'NFI Distribution (by Tship)'!$A22,Camplist_HH)</f>
        <v>492</v>
      </c>
      <c r="C22" s="125">
        <f>SUMIF(Camplist_Township,'NFI Distribution (by Tship)'!$A22,Camplist_Popl)</f>
        <v>1601</v>
      </c>
      <c r="D22" s="125">
        <f t="shared" ref="D22:D31" si="9">SUMIF(NFI_Township,$A22,NFI_Hygiene_Track)</f>
        <v>0</v>
      </c>
      <c r="E22" s="125">
        <f t="shared" ref="E22:E31" si="10">SUMIF(NFI_Pipeline_Township,$A22,NFI_Hygiene_Stock)</f>
        <v>0</v>
      </c>
      <c r="F22" s="125">
        <f>SUMIF(NFI_Pipeline_Township,$A20,NFI_Hygiene_Pipeline)</f>
        <v>0</v>
      </c>
      <c r="G22" s="126">
        <f t="shared" ref="G22:G31" si="11">IF(B22-(D22+E22+F22)&lt;0,0,B22-(D22+E22+F22))</f>
        <v>492</v>
      </c>
      <c r="H22" s="113">
        <f t="shared" ref="H22:H31" si="12">SUMIF(NFI_Township,$A22,NFI_Core_Track)</f>
        <v>0</v>
      </c>
      <c r="I22" s="113">
        <f t="shared" ref="I22:I31" si="13">SUMIF(NFI_Pipeline_Township,$A22,NFI_Core_Stock)</f>
        <v>0</v>
      </c>
      <c r="J22" s="113">
        <f>SUMIF(NFI_Pipeline_Township,$A20,NFI_Core_Pipeline)</f>
        <v>0</v>
      </c>
      <c r="L22" s="12">
        <f t="shared" ref="L22:L31" si="14">SUMIF(NFI_Township,$A22,NFI_Sanitary_Track)</f>
        <v>0</v>
      </c>
      <c r="M22" s="12">
        <f t="shared" ref="M22:M31" si="15">SUMIF(NFI_Pipeline_Township,$A22,NFI_Sanitary_Stock)</f>
        <v>0</v>
      </c>
      <c r="N22" s="12">
        <f>SUMIF(NFI_Pipeline_Township,$A20,NFI_Sanitary_Pipeline)</f>
        <v>0</v>
      </c>
      <c r="O22" s="19">
        <f t="shared" ref="O22:O31" si="16">IF(B22-(L22+M22+N22)&lt;0,0,B22-(L22+M22+N22))</f>
        <v>492</v>
      </c>
    </row>
    <row r="23" spans="1:26" s="102" customFormat="1" ht="15" hidden="1" customHeight="1" x14ac:dyDescent="0.25">
      <c r="A23" s="114" t="s">
        <v>15</v>
      </c>
      <c r="B23" s="125">
        <f>SUMIF(Camplist_Township,'NFI Distribution (by Tship)'!$A23,Camplist_HH)</f>
        <v>1001</v>
      </c>
      <c r="C23" s="125">
        <f>SUMIF(Camplist_Township,'NFI Distribution (by Tship)'!$A23,Camplist_Popl)</f>
        <v>6512</v>
      </c>
      <c r="D23" s="125">
        <f t="shared" si="9"/>
        <v>0</v>
      </c>
      <c r="E23" s="125">
        <f t="shared" si="10"/>
        <v>0</v>
      </c>
      <c r="F23" s="125">
        <f>SUMIF(NFI_Pipeline_Township,$A22,NFI_Hygiene_Pipeline)</f>
        <v>0</v>
      </c>
      <c r="G23" s="126">
        <f t="shared" si="11"/>
        <v>1001</v>
      </c>
      <c r="H23" s="113">
        <f t="shared" si="12"/>
        <v>0</v>
      </c>
      <c r="I23" s="113">
        <f t="shared" si="13"/>
        <v>0</v>
      </c>
      <c r="J23" s="113">
        <f>SUMIF(NFI_Pipeline_Township,$A22,NFI_Core_Pipeline)</f>
        <v>0</v>
      </c>
      <c r="L23" s="12">
        <f t="shared" si="14"/>
        <v>0</v>
      </c>
      <c r="M23" s="12">
        <f t="shared" si="15"/>
        <v>0</v>
      </c>
      <c r="N23" s="12">
        <f>SUMIF(NFI_Pipeline_Township,$A22,NFI_Sanitary_Pipeline)</f>
        <v>0</v>
      </c>
      <c r="O23" s="19">
        <f t="shared" si="16"/>
        <v>1001</v>
      </c>
    </row>
    <row r="24" spans="1:26" s="102" customFormat="1" ht="15" hidden="1" customHeight="1" x14ac:dyDescent="0.25">
      <c r="A24" s="114" t="s">
        <v>20</v>
      </c>
      <c r="B24" s="125">
        <f>SUMIF(Camplist_Township,'NFI Distribution (by Tship)'!$A24,Camplist_HH)</f>
        <v>219</v>
      </c>
      <c r="C24" s="125">
        <f>SUMIF(Camplist_Township,'NFI Distribution (by Tship)'!$A24,Camplist_Popl)</f>
        <v>1400</v>
      </c>
      <c r="D24" s="125">
        <f t="shared" si="9"/>
        <v>875</v>
      </c>
      <c r="E24" s="125">
        <f t="shared" si="10"/>
        <v>0</v>
      </c>
      <c r="F24" s="125">
        <f>SUMIF(NFI_Pipeline_Township,#REF!,NFI_Hygiene_Pipeline)</f>
        <v>0</v>
      </c>
      <c r="G24" s="126">
        <f t="shared" si="11"/>
        <v>0</v>
      </c>
      <c r="H24" s="113">
        <f t="shared" si="12"/>
        <v>918</v>
      </c>
      <c r="I24" s="113">
        <f t="shared" si="13"/>
        <v>0</v>
      </c>
      <c r="J24" s="113">
        <f>SUMIF(NFI_Pipeline_Township,#REF!,NFI_Core_Pipeline)</f>
        <v>0</v>
      </c>
      <c r="L24" s="12">
        <f t="shared" si="14"/>
        <v>918</v>
      </c>
      <c r="M24" s="12">
        <f t="shared" si="15"/>
        <v>0</v>
      </c>
      <c r="N24" s="12">
        <f>SUMIF(NFI_Pipeline_Township,#REF!,NFI_Sanitary_Pipeline)</f>
        <v>0</v>
      </c>
      <c r="O24" s="19">
        <f t="shared" si="16"/>
        <v>0</v>
      </c>
    </row>
    <row r="25" spans="1:26" s="102" customFormat="1" ht="15" hidden="1" customHeight="1" x14ac:dyDescent="0.25">
      <c r="A25" s="115" t="s">
        <v>13</v>
      </c>
      <c r="B25" s="125">
        <f>SUMIF(Camplist_Township,'NFI Distribution (by Tship)'!$A25,Camplist_HH)</f>
        <v>0</v>
      </c>
      <c r="C25" s="125">
        <f>SUMIF(Camplist_Township,'NFI Distribution (by Tship)'!$A25,Camplist_Popl)</f>
        <v>0</v>
      </c>
      <c r="D25" s="125">
        <f t="shared" si="9"/>
        <v>0</v>
      </c>
      <c r="E25" s="125">
        <f t="shared" si="10"/>
        <v>0</v>
      </c>
      <c r="F25" s="125">
        <f>SUMIF(NFI_Pipeline_Township,$A24,NFI_Hygiene_Pipeline)</f>
        <v>0</v>
      </c>
      <c r="G25" s="126">
        <f t="shared" si="11"/>
        <v>0</v>
      </c>
      <c r="H25" s="113">
        <f t="shared" si="12"/>
        <v>0</v>
      </c>
      <c r="I25" s="113">
        <f t="shared" si="13"/>
        <v>0</v>
      </c>
      <c r="J25" s="113">
        <f>SUMIF(NFI_Pipeline_Township,$A24,NFI_Core_Pipeline)</f>
        <v>0</v>
      </c>
      <c r="L25" s="12">
        <f t="shared" si="14"/>
        <v>0</v>
      </c>
      <c r="M25" s="12">
        <f t="shared" si="15"/>
        <v>0</v>
      </c>
      <c r="N25" s="12">
        <f>SUMIF(NFI_Pipeline_Township,$A24,NFI_Sanitary_Pipeline)</f>
        <v>0</v>
      </c>
      <c r="O25" s="19">
        <f t="shared" si="16"/>
        <v>0</v>
      </c>
    </row>
    <row r="26" spans="1:26" s="102" customFormat="1" ht="15" hidden="1" customHeight="1" x14ac:dyDescent="0.25">
      <c r="A26" s="114" t="s">
        <v>11</v>
      </c>
      <c r="B26" s="125">
        <f>SUMIF(Camplist_Township,'NFI Distribution (by Tship)'!$A26,Camplist_HH)</f>
        <v>911</v>
      </c>
      <c r="C26" s="125">
        <f>SUMIF(Camplist_Township,'NFI Distribution (by Tship)'!$A26,Camplist_Popl)</f>
        <v>5638</v>
      </c>
      <c r="D26" s="125">
        <f t="shared" si="9"/>
        <v>0</v>
      </c>
      <c r="E26" s="125">
        <f t="shared" si="10"/>
        <v>0</v>
      </c>
      <c r="F26" s="125">
        <f>SUMIF(NFI_Pipeline_Township,#REF!,NFI_Hygiene_Pipeline)</f>
        <v>0</v>
      </c>
      <c r="G26" s="126">
        <f t="shared" si="11"/>
        <v>911</v>
      </c>
      <c r="H26" s="113">
        <f t="shared" si="12"/>
        <v>0</v>
      </c>
      <c r="I26" s="113">
        <f t="shared" si="13"/>
        <v>0</v>
      </c>
      <c r="J26" s="113">
        <f>SUMIF(NFI_Pipeline_Township,#REF!,NFI_Core_Pipeline)</f>
        <v>0</v>
      </c>
      <c r="L26" s="12">
        <f t="shared" si="14"/>
        <v>0</v>
      </c>
      <c r="M26" s="12">
        <f t="shared" si="15"/>
        <v>0</v>
      </c>
      <c r="N26" s="12">
        <f>SUMIF(NFI_Pipeline_Township,#REF!,NFI_Sanitary_Pipeline)</f>
        <v>0</v>
      </c>
      <c r="O26" s="19">
        <f t="shared" si="16"/>
        <v>911</v>
      </c>
    </row>
    <row r="27" spans="1:26" s="102" customFormat="1" ht="15" hidden="1" customHeight="1" x14ac:dyDescent="0.25">
      <c r="A27" s="114" t="s">
        <v>12</v>
      </c>
      <c r="B27" s="125">
        <f>SUMIF(Camplist_Township,'NFI Distribution (by Tship)'!$A27,Camplist_HH)</f>
        <v>610</v>
      </c>
      <c r="C27" s="125">
        <f>SUMIF(Camplist_Township,'NFI Distribution (by Tship)'!$A27,Camplist_Popl)</f>
        <v>3826</v>
      </c>
      <c r="D27" s="125">
        <f t="shared" si="9"/>
        <v>0</v>
      </c>
      <c r="E27" s="125">
        <f t="shared" si="10"/>
        <v>0</v>
      </c>
      <c r="F27" s="125">
        <f>SUMIF(NFI_Pipeline_Township,$A25,NFI_Hygiene_Pipeline)</f>
        <v>0</v>
      </c>
      <c r="G27" s="126">
        <f t="shared" si="11"/>
        <v>610</v>
      </c>
      <c r="H27" s="113">
        <f t="shared" si="12"/>
        <v>0</v>
      </c>
      <c r="I27" s="113">
        <f t="shared" si="13"/>
        <v>0</v>
      </c>
      <c r="J27" s="113">
        <f>SUMIF(NFI_Pipeline_Township,$A25,NFI_Core_Pipeline)</f>
        <v>0</v>
      </c>
      <c r="L27" s="12">
        <f t="shared" si="14"/>
        <v>0</v>
      </c>
      <c r="M27" s="12">
        <f t="shared" si="15"/>
        <v>0</v>
      </c>
      <c r="N27" s="12">
        <f>SUMIF(NFI_Pipeline_Township,$A25,NFI_Sanitary_Pipeline)</f>
        <v>0</v>
      </c>
      <c r="O27" s="19">
        <f t="shared" si="16"/>
        <v>610</v>
      </c>
    </row>
    <row r="28" spans="1:26" s="102" customFormat="1" ht="15" hidden="1" customHeight="1" x14ac:dyDescent="0.25">
      <c r="A28" s="115" t="s">
        <v>14</v>
      </c>
      <c r="B28" s="125">
        <f>SUMIF(Camplist_Township,'NFI Distribution (by Tship)'!$A28,Camplist_HH)</f>
        <v>4684</v>
      </c>
      <c r="C28" s="125">
        <f>SUMIF(Camplist_Township,'NFI Distribution (by Tship)'!$A28,Camplist_Popl)</f>
        <v>19545</v>
      </c>
      <c r="D28" s="125">
        <f t="shared" si="9"/>
        <v>0</v>
      </c>
      <c r="E28" s="125">
        <f t="shared" si="10"/>
        <v>0</v>
      </c>
      <c r="F28" s="125">
        <f>SUMIF(NFI_Pipeline_Township,$A26,NFI_Hygiene_Pipeline)</f>
        <v>0</v>
      </c>
      <c r="G28" s="126">
        <f t="shared" si="11"/>
        <v>4684</v>
      </c>
      <c r="H28" s="113">
        <f t="shared" si="12"/>
        <v>1108</v>
      </c>
      <c r="I28" s="113">
        <f t="shared" si="13"/>
        <v>0</v>
      </c>
      <c r="J28" s="113">
        <f>SUMIF(NFI_Pipeline_Township,$A26,NFI_Core_Pipeline)</f>
        <v>0</v>
      </c>
      <c r="L28" s="12">
        <f t="shared" si="14"/>
        <v>0</v>
      </c>
      <c r="M28" s="12">
        <f t="shared" si="15"/>
        <v>0</v>
      </c>
      <c r="N28" s="12">
        <f>SUMIF(NFI_Pipeline_Township,$A26,NFI_Sanitary_Pipeline)</f>
        <v>0</v>
      </c>
      <c r="O28" s="19">
        <f t="shared" si="16"/>
        <v>4684</v>
      </c>
    </row>
    <row r="29" spans="1:26" s="102" customFormat="1" ht="15" hidden="1" customHeight="1" x14ac:dyDescent="0.25">
      <c r="A29" s="114" t="s">
        <v>18</v>
      </c>
      <c r="B29" s="125">
        <f>SUMIF(Camplist_Township,'NFI Distribution (by Tship)'!$A29,Camplist_HH)</f>
        <v>78</v>
      </c>
      <c r="C29" s="125">
        <f>SUMIF(Camplist_Township,'NFI Distribution (by Tship)'!$A29,Camplist_Popl)</f>
        <v>264</v>
      </c>
      <c r="D29" s="125">
        <f t="shared" si="9"/>
        <v>0</v>
      </c>
      <c r="E29" s="125">
        <f t="shared" si="10"/>
        <v>0</v>
      </c>
      <c r="F29" s="125">
        <f>SUMIF(NFI_Pipeline_Township,$A27,NFI_Hygiene_Pipeline)</f>
        <v>0</v>
      </c>
      <c r="G29" s="126">
        <f t="shared" si="11"/>
        <v>78</v>
      </c>
      <c r="H29" s="113">
        <f t="shared" si="12"/>
        <v>0</v>
      </c>
      <c r="I29" s="113">
        <f t="shared" si="13"/>
        <v>0</v>
      </c>
      <c r="J29" s="113">
        <f>SUMIF(NFI_Pipeline_Township,$A27,NFI_Core_Pipeline)</f>
        <v>0</v>
      </c>
      <c r="L29" s="12">
        <f t="shared" si="14"/>
        <v>0</v>
      </c>
      <c r="M29" s="12">
        <f t="shared" si="15"/>
        <v>0</v>
      </c>
      <c r="N29" s="12">
        <f>SUMIF(NFI_Pipeline_Township,$A27,NFI_Sanitary_Pipeline)</f>
        <v>0</v>
      </c>
      <c r="O29" s="19">
        <f t="shared" si="16"/>
        <v>78</v>
      </c>
    </row>
    <row r="30" spans="1:26" s="102" customFormat="1" ht="15" hidden="1" customHeight="1" x14ac:dyDescent="0.25">
      <c r="A30" s="114" t="s">
        <v>16</v>
      </c>
      <c r="B30" s="125">
        <f>SUMIF(Camplist_Township,'NFI Distribution (by Tship)'!$A30,Camplist_HH)</f>
        <v>747</v>
      </c>
      <c r="C30" s="125">
        <f>SUMIF(Camplist_Township,'NFI Distribution (by Tship)'!$A30,Camplist_Popl)</f>
        <v>4055</v>
      </c>
      <c r="D30" s="125">
        <f t="shared" si="9"/>
        <v>0</v>
      </c>
      <c r="E30" s="125">
        <f t="shared" si="10"/>
        <v>0</v>
      </c>
      <c r="F30" s="125">
        <f>SUMIF(NFI_Pipeline_Township,$A28,NFI_Hygiene_Pipeline)</f>
        <v>0</v>
      </c>
      <c r="G30" s="126">
        <f t="shared" si="11"/>
        <v>747</v>
      </c>
      <c r="H30" s="113">
        <f t="shared" si="12"/>
        <v>7</v>
      </c>
      <c r="I30" s="113">
        <f t="shared" si="13"/>
        <v>0</v>
      </c>
      <c r="J30" s="113">
        <f>SUMIF(NFI_Pipeline_Township,$A28,NFI_Core_Pipeline)</f>
        <v>0</v>
      </c>
      <c r="L30" s="12">
        <f t="shared" si="14"/>
        <v>7</v>
      </c>
      <c r="M30" s="12">
        <f t="shared" si="15"/>
        <v>0</v>
      </c>
      <c r="N30" s="12">
        <f>SUMIF(NFI_Pipeline_Township,$A28,NFI_Sanitary_Pipeline)</f>
        <v>0</v>
      </c>
      <c r="O30" s="19">
        <f t="shared" si="16"/>
        <v>740</v>
      </c>
    </row>
    <row r="31" spans="1:26" s="102" customFormat="1" ht="15" hidden="1" customHeight="1" x14ac:dyDescent="0.25">
      <c r="A31" s="116" t="s">
        <v>19</v>
      </c>
      <c r="B31" s="125">
        <f>SUMIF(Camplist_Township,'NFI Distribution (by Tship)'!$A31,Camplist_HH)</f>
        <v>18549</v>
      </c>
      <c r="C31" s="125">
        <f>SUMIF(Camplist_Township,'NFI Distribution (by Tship)'!$A31,Camplist_Popl)</f>
        <v>99208</v>
      </c>
      <c r="D31" s="125">
        <f t="shared" si="9"/>
        <v>1269</v>
      </c>
      <c r="E31" s="125">
        <f t="shared" si="10"/>
        <v>0</v>
      </c>
      <c r="F31" s="125">
        <f>SUMIF(NFI_Pipeline_Township,$A29,NFI_Hygiene_Pipeline)</f>
        <v>0</v>
      </c>
      <c r="G31" s="126">
        <f t="shared" si="11"/>
        <v>17280</v>
      </c>
      <c r="H31" s="113">
        <f t="shared" si="12"/>
        <v>5972</v>
      </c>
      <c r="I31" s="113">
        <f t="shared" si="13"/>
        <v>0</v>
      </c>
      <c r="J31" s="113">
        <f>SUMIF(NFI_Pipeline_Township,$A29,NFI_Core_Pipeline)</f>
        <v>0</v>
      </c>
      <c r="L31" s="12">
        <f t="shared" si="14"/>
        <v>0</v>
      </c>
      <c r="M31" s="12">
        <f t="shared" si="15"/>
        <v>0</v>
      </c>
      <c r="N31" s="12">
        <f>SUMIF(NFI_Pipeline_Township,$A29,NFI_Sanitary_Pipeline)</f>
        <v>0</v>
      </c>
      <c r="O31" s="19">
        <f t="shared" si="16"/>
        <v>18549</v>
      </c>
    </row>
    <row r="32" spans="1:26" s="102" customFormat="1" ht="15" hidden="1" customHeight="1" x14ac:dyDescent="0.25">
      <c r="A32" s="117" t="s">
        <v>5</v>
      </c>
      <c r="B32" s="117">
        <f t="shared" ref="B32:J32" si="17">SUM(B22:B31)</f>
        <v>27291</v>
      </c>
      <c r="C32" s="117">
        <f t="shared" si="17"/>
        <v>142049</v>
      </c>
      <c r="D32" s="117">
        <f t="shared" si="17"/>
        <v>2144</v>
      </c>
      <c r="E32" s="117">
        <f t="shared" si="17"/>
        <v>0</v>
      </c>
      <c r="F32" s="117">
        <f t="shared" si="17"/>
        <v>0</v>
      </c>
      <c r="G32" s="127">
        <f t="shared" si="17"/>
        <v>25803</v>
      </c>
      <c r="H32" s="117">
        <f t="shared" si="17"/>
        <v>8005</v>
      </c>
      <c r="I32" s="117">
        <f t="shared" si="17"/>
        <v>0</v>
      </c>
      <c r="J32" s="117">
        <f t="shared" si="17"/>
        <v>0</v>
      </c>
      <c r="L32" s="13">
        <f>SUM(L22:L31)</f>
        <v>925</v>
      </c>
      <c r="M32" s="13">
        <f>SUM(M22:M31)</f>
        <v>0</v>
      </c>
      <c r="N32" s="13">
        <f>SUM(N22:N31)</f>
        <v>0</v>
      </c>
      <c r="O32" s="44">
        <f>SUM(O22:O31)</f>
        <v>27065</v>
      </c>
    </row>
    <row r="33" spans="1:12" x14ac:dyDescent="0.25">
      <c r="A33" s="119"/>
      <c r="B33" s="119"/>
      <c r="C33" s="119"/>
      <c r="D33" s="119"/>
      <c r="E33" s="119"/>
      <c r="F33" s="119"/>
      <c r="G33" s="119"/>
      <c r="H33" s="119"/>
      <c r="I33" s="119"/>
      <c r="J33" s="119"/>
      <c r="K33" s="102"/>
    </row>
    <row r="34" spans="1:12" x14ac:dyDescent="0.25">
      <c r="I34" s="119"/>
      <c r="J34" s="119"/>
      <c r="K34" s="102"/>
    </row>
    <row r="35" spans="1:12" s="102" customFormat="1" x14ac:dyDescent="0.25">
      <c r="I35" s="119"/>
      <c r="J35" s="119"/>
    </row>
    <row r="36" spans="1:12" x14ac:dyDescent="0.25">
      <c r="A36" s="286" t="s">
        <v>10</v>
      </c>
      <c r="B36" s="283" t="s">
        <v>7</v>
      </c>
      <c r="C36" s="119"/>
      <c r="D36" s="119"/>
      <c r="E36" s="119"/>
      <c r="F36" s="119"/>
      <c r="G36" s="119"/>
      <c r="H36" s="119"/>
      <c r="I36" s="119"/>
      <c r="J36" s="119"/>
      <c r="K36" s="4"/>
      <c r="L36" s="4"/>
    </row>
    <row r="37" spans="1:12" x14ac:dyDescent="0.25">
      <c r="A37" s="119"/>
      <c r="B37" s="119"/>
      <c r="C37" s="119"/>
      <c r="D37" s="119"/>
      <c r="E37" s="119"/>
      <c r="F37" s="119"/>
      <c r="G37" s="119"/>
      <c r="H37" s="119"/>
      <c r="I37" s="119"/>
      <c r="J37" s="119"/>
      <c r="K37" s="4"/>
      <c r="L37" s="4"/>
    </row>
    <row r="38" spans="1:12" x14ac:dyDescent="0.25">
      <c r="A38" s="286" t="s">
        <v>214</v>
      </c>
      <c r="B38" s="283" t="s">
        <v>958</v>
      </c>
      <c r="C38" s="283" t="s">
        <v>959</v>
      </c>
      <c r="D38" s="283" t="s">
        <v>960</v>
      </c>
      <c r="E38" s="283" t="s">
        <v>961</v>
      </c>
      <c r="F38" s="283" t="s">
        <v>962</v>
      </c>
      <c r="G38" s="283" t="s">
        <v>963</v>
      </c>
      <c r="H38" s="283" t="s">
        <v>987</v>
      </c>
      <c r="I38" s="283" t="s">
        <v>964</v>
      </c>
      <c r="J38" s="119"/>
      <c r="K38" s="4"/>
      <c r="L38" s="4"/>
    </row>
    <row r="39" spans="1:12" x14ac:dyDescent="0.25">
      <c r="A39" s="285" t="s">
        <v>17</v>
      </c>
      <c r="B39" s="287">
        <v>0</v>
      </c>
      <c r="C39" s="287">
        <v>0</v>
      </c>
      <c r="D39" s="287">
        <v>0</v>
      </c>
      <c r="E39" s="287">
        <v>0</v>
      </c>
      <c r="F39" s="287">
        <v>0</v>
      </c>
      <c r="G39" s="287">
        <v>0</v>
      </c>
      <c r="H39" s="287">
        <v>0</v>
      </c>
      <c r="I39" s="287">
        <v>0</v>
      </c>
      <c r="J39" s="128"/>
      <c r="K39" s="4"/>
      <c r="L39" s="4"/>
    </row>
    <row r="40" spans="1:12" x14ac:dyDescent="0.25">
      <c r="A40" s="285" t="s">
        <v>15</v>
      </c>
      <c r="B40" s="287">
        <v>0</v>
      </c>
      <c r="C40" s="287">
        <v>876</v>
      </c>
      <c r="D40" s="287">
        <v>0</v>
      </c>
      <c r="E40" s="287">
        <v>0</v>
      </c>
      <c r="F40" s="287">
        <v>0</v>
      </c>
      <c r="G40" s="287">
        <v>0</v>
      </c>
      <c r="H40" s="287">
        <v>0</v>
      </c>
      <c r="I40" s="287">
        <v>0</v>
      </c>
      <c r="J40" s="4"/>
      <c r="K40" s="4"/>
      <c r="L40" s="4"/>
    </row>
    <row r="41" spans="1:12" x14ac:dyDescent="0.25">
      <c r="A41" s="285" t="s">
        <v>20</v>
      </c>
      <c r="B41" s="287">
        <v>1834</v>
      </c>
      <c r="C41" s="287">
        <v>0</v>
      </c>
      <c r="D41" s="287">
        <v>1834</v>
      </c>
      <c r="E41" s="287">
        <v>561</v>
      </c>
      <c r="F41" s="287">
        <v>0</v>
      </c>
      <c r="G41" s="287">
        <v>918</v>
      </c>
      <c r="H41" s="287">
        <v>134</v>
      </c>
      <c r="I41" s="287">
        <v>6762.5</v>
      </c>
      <c r="J41" s="4"/>
      <c r="K41" s="4"/>
      <c r="L41" s="4"/>
    </row>
    <row r="42" spans="1:12" x14ac:dyDescent="0.25">
      <c r="A42" s="285" t="s">
        <v>11</v>
      </c>
      <c r="B42" s="287">
        <v>0</v>
      </c>
      <c r="C42" s="287">
        <v>879</v>
      </c>
      <c r="D42" s="287">
        <v>0</v>
      </c>
      <c r="E42" s="287">
        <v>0</v>
      </c>
      <c r="F42" s="287">
        <v>0</v>
      </c>
      <c r="G42" s="287">
        <v>0</v>
      </c>
      <c r="H42" s="287">
        <v>0</v>
      </c>
      <c r="I42" s="287">
        <v>0</v>
      </c>
      <c r="J42" s="4"/>
      <c r="K42" s="4"/>
      <c r="L42" s="4"/>
    </row>
    <row r="43" spans="1:12" x14ac:dyDescent="0.25">
      <c r="A43" s="285" t="s">
        <v>12</v>
      </c>
      <c r="B43" s="287">
        <v>0</v>
      </c>
      <c r="C43" s="287">
        <v>111</v>
      </c>
      <c r="D43" s="287">
        <v>0</v>
      </c>
      <c r="E43" s="287">
        <v>0</v>
      </c>
      <c r="F43" s="287">
        <v>0</v>
      </c>
      <c r="G43" s="287">
        <v>0</v>
      </c>
      <c r="H43" s="287">
        <v>0</v>
      </c>
      <c r="I43" s="287">
        <v>0</v>
      </c>
      <c r="J43" s="4"/>
      <c r="K43" s="4"/>
      <c r="L43" s="4"/>
    </row>
    <row r="44" spans="1:12" x14ac:dyDescent="0.25">
      <c r="A44" s="285" t="s">
        <v>14</v>
      </c>
      <c r="B44" s="287">
        <v>5527</v>
      </c>
      <c r="C44" s="287">
        <v>1982</v>
      </c>
      <c r="D44" s="287">
        <v>3964</v>
      </c>
      <c r="E44" s="287">
        <v>1982</v>
      </c>
      <c r="F44" s="287">
        <v>0</v>
      </c>
      <c r="G44" s="287">
        <v>1964</v>
      </c>
      <c r="H44" s="287">
        <v>1982</v>
      </c>
      <c r="I44" s="287">
        <v>24775</v>
      </c>
      <c r="J44" s="4"/>
      <c r="K44" s="4"/>
      <c r="L44" s="4"/>
    </row>
    <row r="45" spans="1:12" x14ac:dyDescent="0.25">
      <c r="A45" s="285" t="s">
        <v>18</v>
      </c>
      <c r="B45" s="287">
        <v>0</v>
      </c>
      <c r="C45" s="287">
        <v>0</v>
      </c>
      <c r="D45" s="287">
        <v>0</v>
      </c>
      <c r="E45" s="287">
        <v>0</v>
      </c>
      <c r="F45" s="287">
        <v>0</v>
      </c>
      <c r="G45" s="287">
        <v>0</v>
      </c>
      <c r="H45" s="287">
        <v>0</v>
      </c>
      <c r="I45" s="287">
        <v>0</v>
      </c>
      <c r="J45" s="4"/>
      <c r="K45" s="4"/>
      <c r="L45" s="4"/>
    </row>
    <row r="46" spans="1:12" x14ac:dyDescent="0.25">
      <c r="A46" s="285" t="s">
        <v>16</v>
      </c>
      <c r="B46" s="287">
        <v>14</v>
      </c>
      <c r="C46" s="287">
        <v>451</v>
      </c>
      <c r="D46" s="287">
        <v>1248</v>
      </c>
      <c r="E46" s="287">
        <v>5</v>
      </c>
      <c r="F46" s="287">
        <v>0</v>
      </c>
      <c r="G46" s="287">
        <v>624</v>
      </c>
      <c r="H46" s="287">
        <v>7</v>
      </c>
      <c r="I46" s="287">
        <v>5377.5</v>
      </c>
      <c r="J46" s="4"/>
      <c r="K46" s="4"/>
      <c r="L46" s="4"/>
    </row>
    <row r="47" spans="1:12" x14ac:dyDescent="0.25">
      <c r="A47" s="285" t="s">
        <v>19</v>
      </c>
      <c r="B47" s="287">
        <v>14944</v>
      </c>
      <c r="C47" s="287">
        <v>7473</v>
      </c>
      <c r="D47" s="287">
        <v>16542</v>
      </c>
      <c r="E47" s="287">
        <v>7473</v>
      </c>
      <c r="F47" s="287">
        <v>509</v>
      </c>
      <c r="G47" s="287">
        <v>7473</v>
      </c>
      <c r="H47" s="287">
        <v>7472</v>
      </c>
      <c r="I47" s="287">
        <v>93412.5</v>
      </c>
      <c r="J47" s="4"/>
      <c r="K47" s="4"/>
      <c r="L47" s="4"/>
    </row>
    <row r="48" spans="1:12" x14ac:dyDescent="0.25">
      <c r="A48" s="285" t="s">
        <v>915</v>
      </c>
      <c r="B48" s="287">
        <v>0</v>
      </c>
      <c r="C48" s="287">
        <v>0</v>
      </c>
      <c r="D48" s="287">
        <v>0</v>
      </c>
      <c r="E48" s="287">
        <v>0</v>
      </c>
      <c r="F48" s="287">
        <v>0</v>
      </c>
      <c r="G48" s="287">
        <v>0</v>
      </c>
      <c r="H48" s="287">
        <v>0</v>
      </c>
      <c r="I48" s="287">
        <v>0</v>
      </c>
      <c r="J48" s="4"/>
      <c r="K48" s="4"/>
      <c r="L48" s="4"/>
    </row>
    <row r="49" spans="1:12" x14ac:dyDescent="0.25">
      <c r="A49" s="285" t="s">
        <v>215</v>
      </c>
      <c r="B49" s="287">
        <v>22319</v>
      </c>
      <c r="C49" s="287">
        <v>11772</v>
      </c>
      <c r="D49" s="287">
        <v>23588</v>
      </c>
      <c r="E49" s="287">
        <v>10021</v>
      </c>
      <c r="F49" s="287">
        <v>509</v>
      </c>
      <c r="G49" s="287">
        <v>10979</v>
      </c>
      <c r="H49" s="287">
        <v>9595</v>
      </c>
      <c r="I49" s="287">
        <v>130327.5</v>
      </c>
      <c r="J49" s="4"/>
      <c r="K49" s="4"/>
      <c r="L49" s="4"/>
    </row>
    <row r="50" spans="1:12" x14ac:dyDescent="0.25">
      <c r="J50" s="4"/>
      <c r="K50" s="4"/>
      <c r="L50" s="4"/>
    </row>
    <row r="51" spans="1:12" s="102" customFormat="1" x14ac:dyDescent="0.25">
      <c r="D51" s="57"/>
      <c r="E51" s="4"/>
      <c r="F51" s="4"/>
      <c r="G51" s="4"/>
      <c r="H51" s="4"/>
      <c r="I51" s="4"/>
      <c r="J51" s="4"/>
      <c r="K51" s="4"/>
      <c r="L51" s="4"/>
    </row>
    <row r="52" spans="1:12" x14ac:dyDescent="0.25">
      <c r="D52" s="57"/>
      <c r="E52" s="4"/>
      <c r="F52" s="4"/>
      <c r="G52" s="4"/>
      <c r="H52" s="4"/>
      <c r="I52" s="4"/>
      <c r="J52" s="4"/>
      <c r="K52" s="4"/>
      <c r="L52" s="4"/>
    </row>
    <row r="53" spans="1:12" x14ac:dyDescent="0.25">
      <c r="A53" s="286" t="s">
        <v>10</v>
      </c>
      <c r="B53" s="283" t="s">
        <v>7</v>
      </c>
      <c r="C53" s="119"/>
      <c r="D53" s="119"/>
      <c r="E53" s="119"/>
      <c r="F53" s="119"/>
      <c r="G53" s="119"/>
      <c r="H53" s="119"/>
      <c r="I53" s="4"/>
      <c r="J53" s="4"/>
      <c r="K53" s="4"/>
      <c r="L53" s="4"/>
    </row>
    <row r="54" spans="1:12" x14ac:dyDescent="0.25">
      <c r="A54" s="119"/>
      <c r="B54" s="119"/>
      <c r="C54" s="119"/>
      <c r="D54" s="119"/>
      <c r="E54" s="119"/>
      <c r="F54" s="119"/>
      <c r="G54" s="119"/>
      <c r="H54" s="119"/>
      <c r="I54" s="4"/>
      <c r="J54" s="4"/>
      <c r="K54" s="4"/>
      <c r="L54" s="4"/>
    </row>
    <row r="55" spans="1:12" x14ac:dyDescent="0.25">
      <c r="A55" s="286" t="s">
        <v>214</v>
      </c>
      <c r="B55" s="283" t="s">
        <v>956</v>
      </c>
      <c r="C55" s="283" t="s">
        <v>356</v>
      </c>
      <c r="D55" s="283" t="s">
        <v>547</v>
      </c>
      <c r="E55" s="283" t="s">
        <v>548</v>
      </c>
      <c r="F55" s="283" t="s">
        <v>549</v>
      </c>
      <c r="G55" s="283" t="s">
        <v>604</v>
      </c>
      <c r="H55" s="283" t="s">
        <v>987</v>
      </c>
      <c r="I55" s="283" t="s">
        <v>605</v>
      </c>
      <c r="K55" s="4"/>
      <c r="L55" s="4"/>
    </row>
    <row r="56" spans="1:12" x14ac:dyDescent="0.25">
      <c r="A56" s="285" t="s">
        <v>291</v>
      </c>
      <c r="B56" s="287">
        <v>2728</v>
      </c>
      <c r="C56" s="287">
        <v>1364</v>
      </c>
      <c r="D56" s="287">
        <v>2728</v>
      </c>
      <c r="E56" s="287">
        <v>1364</v>
      </c>
      <c r="F56" s="287">
        <v>0</v>
      </c>
      <c r="G56" s="287">
        <v>1364</v>
      </c>
      <c r="H56" s="287">
        <v>1364</v>
      </c>
      <c r="I56" s="287">
        <v>17050</v>
      </c>
    </row>
    <row r="57" spans="1:12" x14ac:dyDescent="0.25">
      <c r="A57" s="285" t="s">
        <v>288</v>
      </c>
      <c r="B57" s="287">
        <v>16012</v>
      </c>
      <c r="C57" s="287">
        <v>9400</v>
      </c>
      <c r="D57" s="287">
        <v>17246</v>
      </c>
      <c r="E57" s="287">
        <v>7649</v>
      </c>
      <c r="F57" s="287">
        <v>509</v>
      </c>
      <c r="G57" s="287">
        <v>8625</v>
      </c>
      <c r="H57" s="287">
        <v>7224</v>
      </c>
      <c r="I57" s="287">
        <v>100677.5</v>
      </c>
    </row>
    <row r="58" spans="1:12" x14ac:dyDescent="0.25">
      <c r="A58" s="285" t="s">
        <v>643</v>
      </c>
      <c r="B58" s="287">
        <v>2016</v>
      </c>
      <c r="C58" s="287">
        <v>1008</v>
      </c>
      <c r="D58" s="287">
        <v>2016</v>
      </c>
      <c r="E58" s="287">
        <v>1008</v>
      </c>
      <c r="F58" s="287">
        <v>0</v>
      </c>
      <c r="G58" s="287">
        <v>990</v>
      </c>
      <c r="H58" s="287">
        <v>1007</v>
      </c>
      <c r="I58" s="287">
        <v>12600</v>
      </c>
    </row>
    <row r="59" spans="1:12" x14ac:dyDescent="0.25">
      <c r="A59" s="285" t="s">
        <v>926</v>
      </c>
      <c r="B59" s="287">
        <v>0</v>
      </c>
      <c r="C59" s="287">
        <v>0</v>
      </c>
      <c r="D59" s="287">
        <v>0</v>
      </c>
      <c r="E59" s="287">
        <v>0</v>
      </c>
      <c r="F59" s="287">
        <v>0</v>
      </c>
      <c r="G59" s="287">
        <v>0</v>
      </c>
      <c r="H59" s="287">
        <v>0</v>
      </c>
      <c r="I59" s="287">
        <v>0</v>
      </c>
    </row>
    <row r="60" spans="1:12" x14ac:dyDescent="0.25">
      <c r="A60" s="285" t="s">
        <v>215</v>
      </c>
      <c r="B60" s="287">
        <v>20756</v>
      </c>
      <c r="C60" s="287">
        <v>11772</v>
      </c>
      <c r="D60" s="287">
        <v>21990</v>
      </c>
      <c r="E60" s="287">
        <v>10021</v>
      </c>
      <c r="F60" s="287">
        <v>509</v>
      </c>
      <c r="G60" s="287">
        <v>10979</v>
      </c>
      <c r="H60" s="287">
        <v>9595</v>
      </c>
      <c r="I60" s="287">
        <v>130327.5</v>
      </c>
    </row>
    <row r="89" spans="1:5" x14ac:dyDescent="0.25">
      <c r="A89" s="56" t="s">
        <v>214</v>
      </c>
      <c r="B89" s="102" t="s">
        <v>845</v>
      </c>
      <c r="C89" s="102" t="s">
        <v>846</v>
      </c>
      <c r="D89" s="102" t="s">
        <v>847</v>
      </c>
      <c r="E89" s="102" t="s">
        <v>848</v>
      </c>
    </row>
    <row r="90" spans="1:5" x14ac:dyDescent="0.25">
      <c r="A90" s="302">
        <v>9.1666666666666661</v>
      </c>
      <c r="B90" s="4"/>
      <c r="C90" s="4"/>
      <c r="D90" s="4"/>
      <c r="E90" s="4"/>
    </row>
    <row r="91" spans="1:5" x14ac:dyDescent="0.25">
      <c r="A91" s="302">
        <v>10.199999999999999</v>
      </c>
      <c r="B91" s="4">
        <v>1888</v>
      </c>
      <c r="C91" s="4">
        <v>944</v>
      </c>
      <c r="D91" s="4">
        <v>944</v>
      </c>
      <c r="E91" s="4">
        <v>1888</v>
      </c>
    </row>
    <row r="92" spans="1:5" x14ac:dyDescent="0.25">
      <c r="A92" s="302">
        <v>14.666666666666666</v>
      </c>
      <c r="B92" s="4">
        <v>170</v>
      </c>
      <c r="C92" s="4">
        <v>66</v>
      </c>
      <c r="D92" s="4">
        <v>66</v>
      </c>
      <c r="E92" s="4">
        <v>170</v>
      </c>
    </row>
    <row r="93" spans="1:5" x14ac:dyDescent="0.25">
      <c r="A93" s="302">
        <v>14.7</v>
      </c>
      <c r="B93" s="4">
        <v>206</v>
      </c>
      <c r="C93" s="4">
        <v>66</v>
      </c>
      <c r="D93" s="4">
        <v>66</v>
      </c>
      <c r="E93" s="4">
        <v>206</v>
      </c>
    </row>
    <row r="94" spans="1:5" x14ac:dyDescent="0.25">
      <c r="A94" s="302">
        <v>18.033333333333335</v>
      </c>
      <c r="B94" s="4">
        <v>4808</v>
      </c>
      <c r="C94" s="4">
        <v>2404</v>
      </c>
      <c r="D94" s="4">
        <v>2404</v>
      </c>
      <c r="E94" s="4">
        <v>4808</v>
      </c>
    </row>
    <row r="95" spans="1:5" x14ac:dyDescent="0.25">
      <c r="A95" s="302">
        <v>22.3</v>
      </c>
      <c r="B95" s="4">
        <v>2</v>
      </c>
      <c r="C95" s="4"/>
      <c r="D95" s="4">
        <v>1</v>
      </c>
      <c r="E95" s="4">
        <v>2</v>
      </c>
    </row>
    <row r="96" spans="1:5" x14ac:dyDescent="0.25">
      <c r="A96" s="302">
        <v>22.833333333333332</v>
      </c>
      <c r="B96" s="4">
        <v>2008</v>
      </c>
      <c r="C96" s="4"/>
      <c r="D96" s="4">
        <v>294</v>
      </c>
      <c r="E96" s="4">
        <v>1988</v>
      </c>
    </row>
    <row r="97" spans="1:5" x14ac:dyDescent="0.25">
      <c r="A97" s="302">
        <v>24.9</v>
      </c>
      <c r="B97" s="4"/>
      <c r="C97" s="4"/>
      <c r="D97" s="4"/>
      <c r="E97" s="4"/>
    </row>
    <row r="98" spans="1:5" x14ac:dyDescent="0.25">
      <c r="A98" s="302">
        <v>24.933333333333334</v>
      </c>
      <c r="B98" s="4"/>
      <c r="C98" s="4"/>
      <c r="D98" s="4"/>
      <c r="E98" s="4"/>
    </row>
    <row r="99" spans="1:5" x14ac:dyDescent="0.25">
      <c r="A99" s="302">
        <v>24.966666666666665</v>
      </c>
      <c r="B99" s="4">
        <v>28</v>
      </c>
      <c r="C99" s="4">
        <v>83</v>
      </c>
      <c r="D99" s="4">
        <v>14</v>
      </c>
      <c r="E99" s="4">
        <v>28</v>
      </c>
    </row>
    <row r="100" spans="1:5" x14ac:dyDescent="0.25">
      <c r="A100" s="302">
        <v>30.533333333333335</v>
      </c>
      <c r="B100" s="4">
        <v>82</v>
      </c>
      <c r="C100" s="4">
        <v>1520</v>
      </c>
      <c r="D100" s="4">
        <v>41</v>
      </c>
      <c r="E100" s="4">
        <v>82</v>
      </c>
    </row>
    <row r="101" spans="1:5" x14ac:dyDescent="0.25">
      <c r="A101" s="302">
        <v>30.566666666666666</v>
      </c>
      <c r="B101" s="4"/>
      <c r="C101" s="4">
        <v>1673</v>
      </c>
      <c r="D101" s="4"/>
      <c r="E101" s="4"/>
    </row>
    <row r="102" spans="1:5" x14ac:dyDescent="0.25">
      <c r="A102" s="302">
        <v>30.6</v>
      </c>
      <c r="B102" s="4"/>
      <c r="C102" s="4">
        <v>332</v>
      </c>
      <c r="D102" s="4"/>
      <c r="E102" s="4"/>
    </row>
    <row r="103" spans="1:5" x14ac:dyDescent="0.25">
      <c r="A103" s="302">
        <v>33.56666666666667</v>
      </c>
      <c r="B103" s="4">
        <v>2271</v>
      </c>
      <c r="C103" s="4">
        <v>1100</v>
      </c>
      <c r="D103" s="4">
        <v>1050</v>
      </c>
      <c r="E103" s="4">
        <v>2100</v>
      </c>
    </row>
    <row r="104" spans="1:5" x14ac:dyDescent="0.25">
      <c r="A104" s="302">
        <v>33.5</v>
      </c>
      <c r="B104" s="4">
        <v>258</v>
      </c>
      <c r="C104" s="4">
        <v>102</v>
      </c>
      <c r="D104" s="4">
        <v>51</v>
      </c>
      <c r="E104" s="4">
        <v>102</v>
      </c>
    </row>
    <row r="105" spans="1:5" x14ac:dyDescent="0.25">
      <c r="A105" s="302">
        <v>31.7</v>
      </c>
      <c r="B105" s="4"/>
      <c r="C105" s="4"/>
      <c r="D105" s="4"/>
      <c r="E105" s="4"/>
    </row>
    <row r="106" spans="1:5" x14ac:dyDescent="0.25">
      <c r="A106" s="302">
        <v>31.633333333333333</v>
      </c>
      <c r="B106" s="4"/>
      <c r="C106" s="4"/>
      <c r="D106" s="4"/>
      <c r="E106" s="4"/>
    </row>
    <row r="107" spans="1:5" x14ac:dyDescent="0.25">
      <c r="A107" s="302">
        <v>28</v>
      </c>
      <c r="B107" s="4">
        <v>0</v>
      </c>
      <c r="C107" s="4">
        <v>203</v>
      </c>
      <c r="D107" s="4"/>
      <c r="E107" s="4">
        <v>0</v>
      </c>
    </row>
    <row r="108" spans="1:5" x14ac:dyDescent="0.25">
      <c r="A108" s="302">
        <v>26.8</v>
      </c>
      <c r="B108" s="4">
        <v>2658</v>
      </c>
      <c r="C108" s="4">
        <v>940</v>
      </c>
      <c r="D108" s="4">
        <v>940</v>
      </c>
      <c r="E108" s="4">
        <v>1880</v>
      </c>
    </row>
    <row r="109" spans="1:5" x14ac:dyDescent="0.25">
      <c r="A109" s="302">
        <v>26.766666666666666</v>
      </c>
      <c r="B109" s="4">
        <v>42</v>
      </c>
      <c r="C109" s="4"/>
      <c r="D109" s="4">
        <v>21</v>
      </c>
      <c r="E109" s="4">
        <v>42</v>
      </c>
    </row>
    <row r="110" spans="1:5" x14ac:dyDescent="0.25">
      <c r="A110" s="302">
        <v>25.833333333333332</v>
      </c>
      <c r="B110" s="4"/>
      <c r="C110" s="4"/>
      <c r="D110" s="4"/>
      <c r="E110" s="4"/>
    </row>
    <row r="111" spans="1:5" x14ac:dyDescent="0.25">
      <c r="A111" s="302">
        <v>25.366666666666667</v>
      </c>
      <c r="B111" s="4"/>
      <c r="C111" s="4"/>
      <c r="D111" s="4"/>
      <c r="E111" s="4"/>
    </row>
    <row r="112" spans="1:5" x14ac:dyDescent="0.25">
      <c r="A112" s="302">
        <v>24.2</v>
      </c>
      <c r="B112" s="4">
        <v>2400</v>
      </c>
      <c r="C112" s="4">
        <v>33</v>
      </c>
      <c r="D112" s="4">
        <v>1200</v>
      </c>
      <c r="E112" s="4">
        <v>2400</v>
      </c>
    </row>
    <row r="113" spans="1:5" x14ac:dyDescent="0.25">
      <c r="A113" s="302">
        <v>23.966666666666665</v>
      </c>
      <c r="B113" s="4">
        <v>743</v>
      </c>
      <c r="C113" s="4"/>
      <c r="D113" s="4"/>
      <c r="E113" s="4">
        <v>743</v>
      </c>
    </row>
    <row r="114" spans="1:5" x14ac:dyDescent="0.25">
      <c r="A114" s="302">
        <v>16.600000000000001</v>
      </c>
      <c r="B114" s="4"/>
      <c r="C114" s="4">
        <v>304</v>
      </c>
      <c r="D114" s="4"/>
      <c r="E114" s="4">
        <v>608</v>
      </c>
    </row>
    <row r="115" spans="1:5" x14ac:dyDescent="0.25">
      <c r="A115" s="302">
        <v>15.8</v>
      </c>
      <c r="B115" s="4">
        <v>4</v>
      </c>
      <c r="C115" s="4">
        <v>2</v>
      </c>
      <c r="D115" s="4">
        <v>2</v>
      </c>
      <c r="E115" s="4">
        <v>4</v>
      </c>
    </row>
    <row r="116" spans="1:5" x14ac:dyDescent="0.25">
      <c r="A116" s="302">
        <v>7.2666666666666666</v>
      </c>
      <c r="B116" s="4">
        <v>1282</v>
      </c>
      <c r="C116" s="4">
        <v>641</v>
      </c>
      <c r="D116" s="4">
        <v>641</v>
      </c>
      <c r="E116" s="4">
        <v>1282</v>
      </c>
    </row>
    <row r="117" spans="1:5" x14ac:dyDescent="0.25">
      <c r="A117" s="302">
        <v>6.5</v>
      </c>
      <c r="B117" s="4">
        <v>1298</v>
      </c>
      <c r="C117" s="4">
        <v>649</v>
      </c>
      <c r="D117" s="4">
        <v>649</v>
      </c>
      <c r="E117" s="4">
        <v>1298</v>
      </c>
    </row>
    <row r="118" spans="1:5" x14ac:dyDescent="0.25">
      <c r="A118" s="302">
        <v>35.200000000000003</v>
      </c>
      <c r="B118" s="4"/>
      <c r="C118" s="4"/>
      <c r="D118" s="4"/>
      <c r="E118" s="4">
        <v>50</v>
      </c>
    </row>
    <row r="119" spans="1:5" x14ac:dyDescent="0.25">
      <c r="A119" s="302">
        <v>35.166666666666664</v>
      </c>
      <c r="B119" s="4">
        <v>224</v>
      </c>
      <c r="C119" s="4">
        <v>112</v>
      </c>
      <c r="D119" s="4">
        <v>56</v>
      </c>
      <c r="E119" s="4">
        <v>157</v>
      </c>
    </row>
    <row r="120" spans="1:5" x14ac:dyDescent="0.25">
      <c r="A120" s="302">
        <v>34.93333333333333</v>
      </c>
      <c r="B120" s="4"/>
      <c r="C120" s="4"/>
      <c r="D120" s="4"/>
      <c r="E120" s="4">
        <v>50</v>
      </c>
    </row>
    <row r="121" spans="1:5" x14ac:dyDescent="0.25">
      <c r="A121" s="302">
        <v>34.9</v>
      </c>
      <c r="B121" s="4">
        <v>252</v>
      </c>
      <c r="C121" s="4">
        <v>126</v>
      </c>
      <c r="D121" s="4">
        <v>63</v>
      </c>
      <c r="E121" s="4">
        <v>176</v>
      </c>
    </row>
    <row r="122" spans="1:5" x14ac:dyDescent="0.25">
      <c r="A122" s="302">
        <v>33.733333333333334</v>
      </c>
      <c r="B122" s="4">
        <v>82</v>
      </c>
      <c r="C122" s="4">
        <v>30</v>
      </c>
      <c r="D122" s="4">
        <v>15</v>
      </c>
      <c r="E122" s="4">
        <v>30</v>
      </c>
    </row>
    <row r="123" spans="1:5" x14ac:dyDescent="0.25">
      <c r="A123" s="302">
        <v>33.43333333333333</v>
      </c>
      <c r="B123" s="4"/>
      <c r="C123" s="4"/>
      <c r="D123" s="4"/>
      <c r="E123" s="4">
        <v>33</v>
      </c>
    </row>
    <row r="124" spans="1:5" x14ac:dyDescent="0.25">
      <c r="A124" s="302">
        <v>30.733333333333334</v>
      </c>
      <c r="B124" s="4"/>
      <c r="C124" s="4"/>
      <c r="D124" s="4"/>
      <c r="E124" s="4"/>
    </row>
    <row r="125" spans="1:5" x14ac:dyDescent="0.25">
      <c r="A125" s="302">
        <v>29.166666666666668</v>
      </c>
      <c r="B125" s="4">
        <v>976</v>
      </c>
      <c r="C125" s="4">
        <v>1453</v>
      </c>
      <c r="D125" s="4">
        <v>488</v>
      </c>
      <c r="E125" s="4">
        <v>976</v>
      </c>
    </row>
    <row r="126" spans="1:5" x14ac:dyDescent="0.25">
      <c r="A126" s="302">
        <v>23.333333333333332</v>
      </c>
      <c r="B126" s="4">
        <v>800</v>
      </c>
      <c r="C126" s="4">
        <v>309</v>
      </c>
      <c r="D126" s="4">
        <v>400</v>
      </c>
      <c r="E126" s="4">
        <v>800</v>
      </c>
    </row>
    <row r="127" spans="1:5" x14ac:dyDescent="0.25">
      <c r="A127" s="302">
        <v>17.833333333333332</v>
      </c>
      <c r="B127" s="4">
        <v>2</v>
      </c>
      <c r="C127" s="4">
        <v>1</v>
      </c>
      <c r="D127" s="4">
        <v>1</v>
      </c>
      <c r="E127" s="4">
        <v>2</v>
      </c>
    </row>
    <row r="128" spans="1:5" x14ac:dyDescent="0.25">
      <c r="A128" s="302">
        <v>11.733333333333333</v>
      </c>
      <c r="B128" s="4">
        <v>338</v>
      </c>
      <c r="C128" s="4">
        <v>0</v>
      </c>
      <c r="D128" s="4">
        <v>110</v>
      </c>
      <c r="E128" s="4">
        <v>338</v>
      </c>
    </row>
    <row r="129" spans="1:5" x14ac:dyDescent="0.25">
      <c r="A129" s="302">
        <v>5.6333333333333337</v>
      </c>
      <c r="B129" s="4">
        <v>0</v>
      </c>
      <c r="C129" s="4">
        <v>40</v>
      </c>
      <c r="D129" s="4">
        <v>0</v>
      </c>
      <c r="E129" s="4">
        <v>0</v>
      </c>
    </row>
    <row r="130" spans="1:5" x14ac:dyDescent="0.25">
      <c r="A130" s="302">
        <v>5.333333333333333</v>
      </c>
      <c r="B130" s="4"/>
      <c r="C130" s="4">
        <v>444</v>
      </c>
      <c r="D130" s="4"/>
      <c r="E130" s="4"/>
    </row>
    <row r="131" spans="1:5" x14ac:dyDescent="0.25">
      <c r="A131" s="302">
        <v>4.3666666666666663</v>
      </c>
      <c r="B131" s="4">
        <v>0</v>
      </c>
      <c r="C131" s="4">
        <v>384</v>
      </c>
      <c r="D131" s="4">
        <v>0</v>
      </c>
      <c r="E131" s="4">
        <v>0</v>
      </c>
    </row>
    <row r="132" spans="1:5" x14ac:dyDescent="0.25">
      <c r="A132" s="302">
        <v>1.1666666666666667</v>
      </c>
      <c r="B132" s="4">
        <v>0</v>
      </c>
      <c r="C132" s="4">
        <v>5</v>
      </c>
      <c r="D132" s="4">
        <v>0</v>
      </c>
      <c r="E132" s="4">
        <v>0</v>
      </c>
    </row>
    <row r="133" spans="1:5" x14ac:dyDescent="0.25">
      <c r="A133" s="302">
        <v>0.4</v>
      </c>
      <c r="B133" s="4">
        <v>1563</v>
      </c>
      <c r="C133" s="4"/>
      <c r="D133" s="4"/>
      <c r="E133" s="4"/>
    </row>
    <row r="134" spans="1:5" x14ac:dyDescent="0.25">
      <c r="A134" s="302">
        <v>37.5</v>
      </c>
      <c r="B134" s="4"/>
      <c r="C134" s="4">
        <v>146</v>
      </c>
      <c r="D134" s="4">
        <v>146</v>
      </c>
      <c r="E134" s="4"/>
    </row>
    <row r="135" spans="1:5" x14ac:dyDescent="0.25">
      <c r="A135" s="302">
        <v>35.466666666666669</v>
      </c>
      <c r="B135" s="4"/>
      <c r="C135" s="4"/>
      <c r="D135" s="4"/>
      <c r="E135" s="4"/>
    </row>
    <row r="136" spans="1:5" x14ac:dyDescent="0.25">
      <c r="A136" s="302">
        <v>34.799999999999997</v>
      </c>
      <c r="B136" s="4"/>
      <c r="C136" s="4"/>
      <c r="D136" s="4"/>
      <c r="E136" s="4">
        <v>38</v>
      </c>
    </row>
    <row r="137" spans="1:5" x14ac:dyDescent="0.25">
      <c r="A137" s="302">
        <v>34.5</v>
      </c>
      <c r="B137" s="4"/>
      <c r="C137" s="4"/>
      <c r="D137" s="4"/>
      <c r="E137" s="4"/>
    </row>
    <row r="138" spans="1:5" x14ac:dyDescent="0.25">
      <c r="A138" s="302">
        <v>34</v>
      </c>
      <c r="B138" s="4">
        <v>121</v>
      </c>
      <c r="C138" s="4">
        <v>40</v>
      </c>
      <c r="D138" s="4">
        <v>20</v>
      </c>
      <c r="E138" s="4">
        <v>40</v>
      </c>
    </row>
    <row r="139" spans="1:5" x14ac:dyDescent="0.25">
      <c r="A139" s="302">
        <v>33.966666666666669</v>
      </c>
      <c r="B139" s="4"/>
      <c r="C139" s="4"/>
      <c r="D139" s="4"/>
      <c r="E139" s="4"/>
    </row>
    <row r="140" spans="1:5" x14ac:dyDescent="0.25">
      <c r="A140" s="302">
        <v>32.4</v>
      </c>
      <c r="B140" s="4"/>
      <c r="C140" s="4"/>
      <c r="D140" s="4"/>
      <c r="E140" s="4">
        <v>45</v>
      </c>
    </row>
    <row r="141" spans="1:5" x14ac:dyDescent="0.25">
      <c r="A141" s="302">
        <v>32.166666666666664</v>
      </c>
      <c r="B141" s="4"/>
      <c r="C141" s="4"/>
      <c r="D141" s="4"/>
      <c r="E141" s="4">
        <v>90</v>
      </c>
    </row>
    <row r="142" spans="1:5" x14ac:dyDescent="0.25">
      <c r="A142" s="302">
        <v>31.533333333333335</v>
      </c>
      <c r="B142" s="4">
        <v>256</v>
      </c>
      <c r="C142" s="4">
        <v>128</v>
      </c>
      <c r="D142" s="4">
        <v>64</v>
      </c>
      <c r="E142" s="4">
        <v>128</v>
      </c>
    </row>
    <row r="143" spans="1:5" x14ac:dyDescent="0.25">
      <c r="A143" s="302">
        <v>29.6</v>
      </c>
      <c r="B143" s="4">
        <v>3090</v>
      </c>
      <c r="C143" s="4">
        <v>3090</v>
      </c>
      <c r="D143" s="4"/>
      <c r="E143" s="4">
        <v>3090</v>
      </c>
    </row>
    <row r="144" spans="1:5" x14ac:dyDescent="0.25">
      <c r="A144" s="302">
        <v>24.733333333333334</v>
      </c>
      <c r="B144" s="4"/>
      <c r="C144" s="4"/>
      <c r="D144" s="4"/>
      <c r="E144" s="4"/>
    </row>
    <row r="145" spans="1:5" x14ac:dyDescent="0.25">
      <c r="A145" s="302">
        <v>7</v>
      </c>
      <c r="B145" s="4">
        <v>14</v>
      </c>
      <c r="C145" s="4">
        <v>5</v>
      </c>
      <c r="D145" s="4">
        <v>5</v>
      </c>
      <c r="E145" s="4">
        <v>14</v>
      </c>
    </row>
    <row r="146" spans="1:5" x14ac:dyDescent="0.25">
      <c r="A146" s="302">
        <v>1.8</v>
      </c>
      <c r="B146" s="4">
        <v>252</v>
      </c>
      <c r="C146" s="4">
        <v>128</v>
      </c>
      <c r="D146" s="4">
        <v>127</v>
      </c>
      <c r="E146" s="4">
        <v>252</v>
      </c>
    </row>
    <row r="147" spans="1:5" x14ac:dyDescent="0.25">
      <c r="A147" s="302">
        <v>3.8333333333333335</v>
      </c>
      <c r="B147" s="4">
        <v>62</v>
      </c>
      <c r="C147" s="4">
        <v>31</v>
      </c>
      <c r="D147" s="4">
        <v>31</v>
      </c>
      <c r="E147" s="4">
        <v>62</v>
      </c>
    </row>
    <row r="148" spans="1:5" x14ac:dyDescent="0.25">
      <c r="A148" s="302">
        <v>4.333333333333333</v>
      </c>
      <c r="B148" s="4">
        <v>1968</v>
      </c>
      <c r="C148" s="4">
        <v>984</v>
      </c>
      <c r="D148" s="4">
        <v>984</v>
      </c>
      <c r="E148" s="4">
        <v>1968</v>
      </c>
    </row>
    <row r="149" spans="1:5" x14ac:dyDescent="0.25">
      <c r="A149" s="302">
        <v>5.7666666666666666</v>
      </c>
      <c r="B149" s="4"/>
      <c r="C149" s="4">
        <v>588</v>
      </c>
      <c r="D149" s="4"/>
      <c r="E149" s="4"/>
    </row>
    <row r="150" spans="1:5" x14ac:dyDescent="0.25">
      <c r="A150" s="302">
        <v>9.4666666666666668</v>
      </c>
      <c r="B150" s="4"/>
      <c r="C150" s="4"/>
      <c r="D150" s="4"/>
      <c r="E150" s="4"/>
    </row>
    <row r="151" spans="1:5" x14ac:dyDescent="0.25">
      <c r="A151" s="302">
        <v>23.933333333333334</v>
      </c>
      <c r="B151" s="4">
        <v>2773</v>
      </c>
      <c r="C151" s="4">
        <v>203</v>
      </c>
      <c r="D151" s="4">
        <v>983</v>
      </c>
      <c r="E151" s="4">
        <v>1966</v>
      </c>
    </row>
    <row r="152" spans="1:5" x14ac:dyDescent="0.25">
      <c r="A152" s="302">
        <v>25.8</v>
      </c>
      <c r="B152" s="4"/>
      <c r="C152" s="4"/>
      <c r="D152" s="4"/>
      <c r="E152" s="4"/>
    </row>
    <row r="153" spans="1:5" x14ac:dyDescent="0.25">
      <c r="A153" s="302">
        <v>27</v>
      </c>
      <c r="B153" s="4">
        <v>62</v>
      </c>
      <c r="C153" s="4"/>
      <c r="D153" s="4">
        <v>31</v>
      </c>
      <c r="E153" s="4">
        <v>62</v>
      </c>
    </row>
    <row r="154" spans="1:5" x14ac:dyDescent="0.25">
      <c r="A154" s="302">
        <v>28.166666666666668</v>
      </c>
      <c r="B154" s="4">
        <v>1598</v>
      </c>
      <c r="C154" s="4">
        <v>799</v>
      </c>
      <c r="D154" s="4">
        <v>799</v>
      </c>
      <c r="E154" s="4">
        <v>1598</v>
      </c>
    </row>
    <row r="155" spans="1:5" x14ac:dyDescent="0.25">
      <c r="A155" s="302">
        <v>32.366666666666667</v>
      </c>
      <c r="B155" s="4"/>
      <c r="C155" s="4"/>
      <c r="D155" s="4"/>
      <c r="E155" s="4">
        <v>45</v>
      </c>
    </row>
    <row r="156" spans="1:5" x14ac:dyDescent="0.25">
      <c r="A156" s="302">
        <v>32.43333333333333</v>
      </c>
      <c r="B156" s="4"/>
      <c r="C156" s="4"/>
      <c r="D156" s="4"/>
      <c r="E156" s="4"/>
    </row>
    <row r="157" spans="1:5" x14ac:dyDescent="0.25">
      <c r="A157" s="302">
        <v>34.200000000000003</v>
      </c>
      <c r="B157" s="4"/>
      <c r="C157" s="4"/>
      <c r="D157" s="4"/>
      <c r="E157" s="4"/>
    </row>
    <row r="158" spans="1:5" x14ac:dyDescent="0.25">
      <c r="A158" s="302">
        <v>36.43333333333333</v>
      </c>
      <c r="B158" s="4"/>
      <c r="C158" s="4"/>
      <c r="D158" s="4"/>
      <c r="E158" s="4">
        <v>92</v>
      </c>
    </row>
    <row r="159" spans="1:5" x14ac:dyDescent="0.25">
      <c r="A159" s="302">
        <v>36.533333333333331</v>
      </c>
      <c r="B159" s="4">
        <v>88</v>
      </c>
      <c r="C159" s="4">
        <v>1310</v>
      </c>
      <c r="D159" s="4">
        <v>90</v>
      </c>
      <c r="E159" s="4">
        <v>360</v>
      </c>
    </row>
    <row r="160" spans="1:5" x14ac:dyDescent="0.25">
      <c r="A160" s="302">
        <v>38.333333333333336</v>
      </c>
      <c r="B160" s="4"/>
      <c r="C160" s="4">
        <v>187</v>
      </c>
      <c r="D160" s="4"/>
      <c r="E160" s="4"/>
    </row>
    <row r="161" spans="1:5" x14ac:dyDescent="0.25">
      <c r="A161" s="302">
        <v>40.633333333333333</v>
      </c>
      <c r="B161" s="4"/>
      <c r="C161" s="4">
        <v>472</v>
      </c>
      <c r="D161" s="4"/>
      <c r="E161" s="4"/>
    </row>
    <row r="162" spans="1:5" x14ac:dyDescent="0.25">
      <c r="A162" s="302">
        <v>40.666666666666664</v>
      </c>
      <c r="B162" s="4"/>
      <c r="C162" s="4">
        <v>478</v>
      </c>
      <c r="D162" s="4"/>
      <c r="E162" s="4"/>
    </row>
    <row r="163" spans="1:5" x14ac:dyDescent="0.25">
      <c r="A163" s="302">
        <v>-0.26666666666666666</v>
      </c>
      <c r="B163" s="4"/>
      <c r="C163" s="4"/>
      <c r="D163" s="4"/>
      <c r="E163" s="4">
        <v>1598</v>
      </c>
    </row>
    <row r="164" spans="1:5" x14ac:dyDescent="0.25">
      <c r="A164" s="302">
        <v>0.26666666666666666</v>
      </c>
      <c r="B164" s="4">
        <v>1972</v>
      </c>
      <c r="C164" s="4">
        <v>986</v>
      </c>
      <c r="D164" s="4">
        <v>986</v>
      </c>
      <c r="E164" s="4">
        <v>1972</v>
      </c>
    </row>
    <row r="165" spans="1:5" x14ac:dyDescent="0.25">
      <c r="A165" s="302">
        <v>0.43333333333333335</v>
      </c>
      <c r="B165" s="4">
        <v>42</v>
      </c>
      <c r="C165" s="4">
        <v>21</v>
      </c>
      <c r="D165" s="4">
        <v>21</v>
      </c>
      <c r="E165" s="4">
        <v>42</v>
      </c>
    </row>
    <row r="166" spans="1:5" x14ac:dyDescent="0.25">
      <c r="A166" s="302">
        <v>10.966666666666667</v>
      </c>
      <c r="B166" s="4">
        <v>182</v>
      </c>
      <c r="C166" s="4">
        <v>0</v>
      </c>
      <c r="D166" s="4">
        <v>55</v>
      </c>
      <c r="E166" s="4">
        <v>182</v>
      </c>
    </row>
    <row r="167" spans="1:5" x14ac:dyDescent="0.25">
      <c r="A167" s="302">
        <v>2.5</v>
      </c>
      <c r="B167" s="4">
        <v>730</v>
      </c>
      <c r="C167" s="4">
        <v>375</v>
      </c>
      <c r="D167" s="4">
        <v>365</v>
      </c>
      <c r="E167" s="4">
        <v>730</v>
      </c>
    </row>
    <row r="168" spans="1:5" x14ac:dyDescent="0.25">
      <c r="A168" s="302">
        <v>3.7</v>
      </c>
      <c r="B168" s="4">
        <v>648</v>
      </c>
      <c r="C168" s="4">
        <v>324</v>
      </c>
      <c r="D168" s="4">
        <v>324</v>
      </c>
      <c r="E168" s="4">
        <v>648</v>
      </c>
    </row>
    <row r="169" spans="1:5" x14ac:dyDescent="0.25">
      <c r="A169" s="302">
        <v>9.0333333333333332</v>
      </c>
      <c r="B169" s="4">
        <v>86</v>
      </c>
      <c r="C169" s="4">
        <v>0</v>
      </c>
      <c r="D169" s="4">
        <v>33</v>
      </c>
      <c r="E169" s="4">
        <v>86</v>
      </c>
    </row>
    <row r="170" spans="1:5" x14ac:dyDescent="0.25">
      <c r="A170" s="302">
        <v>4.833333333333333</v>
      </c>
      <c r="B170" s="4">
        <v>1248</v>
      </c>
      <c r="C170" s="4">
        <v>624</v>
      </c>
      <c r="D170" s="4">
        <v>624</v>
      </c>
      <c r="E170" s="4">
        <v>1248</v>
      </c>
    </row>
    <row r="171" spans="1:5" x14ac:dyDescent="0.25">
      <c r="A171" s="302">
        <v>5.2666666666666666</v>
      </c>
      <c r="B171" s="4"/>
      <c r="C171" s="4">
        <v>250</v>
      </c>
      <c r="D171" s="4"/>
      <c r="E171" s="4"/>
    </row>
    <row r="172" spans="1:5" x14ac:dyDescent="0.25">
      <c r="A172" s="302">
        <v>5.3</v>
      </c>
      <c r="B172" s="4"/>
      <c r="C172" s="4">
        <v>182</v>
      </c>
      <c r="D172" s="4"/>
      <c r="E172" s="4"/>
    </row>
    <row r="173" spans="1:5" x14ac:dyDescent="0.25">
      <c r="A173" s="302">
        <v>5.3666666666666663</v>
      </c>
      <c r="B173" s="4"/>
      <c r="C173" s="4">
        <v>16</v>
      </c>
      <c r="D173" s="4"/>
      <c r="E173" s="4"/>
    </row>
    <row r="174" spans="1:5" x14ac:dyDescent="0.25">
      <c r="A174" s="302">
        <v>5.8</v>
      </c>
      <c r="B174" s="4"/>
      <c r="C174" s="4">
        <v>386</v>
      </c>
      <c r="D174" s="4"/>
      <c r="E174" s="4"/>
    </row>
    <row r="175" spans="1:5" x14ac:dyDescent="0.25">
      <c r="A175" s="302">
        <v>6.7666666666666666</v>
      </c>
      <c r="B175" s="4">
        <v>498</v>
      </c>
      <c r="C175" s="4">
        <v>249</v>
      </c>
      <c r="D175" s="4">
        <v>249</v>
      </c>
      <c r="E175" s="4">
        <v>498</v>
      </c>
    </row>
    <row r="176" spans="1:5" x14ac:dyDescent="0.25">
      <c r="A176" s="302">
        <v>6.9333333333333336</v>
      </c>
      <c r="B176" s="4">
        <v>4290</v>
      </c>
      <c r="C176" s="4">
        <v>2145</v>
      </c>
      <c r="D176" s="4">
        <v>2145</v>
      </c>
      <c r="E176" s="4">
        <v>4290</v>
      </c>
    </row>
    <row r="177" spans="1:5" x14ac:dyDescent="0.25">
      <c r="A177" s="302">
        <v>6.9666666666666668</v>
      </c>
      <c r="B177" s="4">
        <v>2728</v>
      </c>
      <c r="C177" s="4">
        <v>1364</v>
      </c>
      <c r="D177" s="4">
        <v>1364</v>
      </c>
      <c r="E177" s="4">
        <v>2728</v>
      </c>
    </row>
    <row r="178" spans="1:5" x14ac:dyDescent="0.25">
      <c r="A178" s="302">
        <v>8.6999999999999993</v>
      </c>
      <c r="B178" s="4"/>
      <c r="C178" s="4"/>
      <c r="D178" s="4"/>
      <c r="E178" s="4"/>
    </row>
    <row r="179" spans="1:5" x14ac:dyDescent="0.25">
      <c r="A179" s="302">
        <v>10.466666666666667</v>
      </c>
      <c r="B179" s="4">
        <v>0</v>
      </c>
      <c r="C179" s="4">
        <v>0</v>
      </c>
      <c r="D179" s="4">
        <v>0</v>
      </c>
      <c r="E179" s="4">
        <v>1234</v>
      </c>
    </row>
    <row r="180" spans="1:5" x14ac:dyDescent="0.25">
      <c r="A180" s="302">
        <v>10.1</v>
      </c>
      <c r="B180" s="4"/>
      <c r="C180" s="4"/>
      <c r="D180" s="4"/>
      <c r="E180" s="4"/>
    </row>
    <row r="181" spans="1:5" x14ac:dyDescent="0.25">
      <c r="A181" s="302">
        <v>11.133333333333333</v>
      </c>
      <c r="B181" s="4"/>
      <c r="C181" s="4"/>
      <c r="D181" s="4"/>
      <c r="E181" s="4"/>
    </row>
    <row r="182" spans="1:5" x14ac:dyDescent="0.25">
      <c r="A182" s="302">
        <v>11.433333333333334</v>
      </c>
      <c r="B182" s="4">
        <v>54</v>
      </c>
      <c r="C182" s="4">
        <v>0</v>
      </c>
      <c r="D182" s="4">
        <v>17</v>
      </c>
      <c r="E182" s="4">
        <v>54</v>
      </c>
    </row>
    <row r="183" spans="1:5" x14ac:dyDescent="0.25">
      <c r="A183" s="302">
        <v>11.6</v>
      </c>
      <c r="B183" s="4">
        <v>544</v>
      </c>
      <c r="C183" s="4">
        <v>0</v>
      </c>
      <c r="D183" s="4">
        <v>160</v>
      </c>
      <c r="E183" s="4">
        <v>544</v>
      </c>
    </row>
    <row r="184" spans="1:5" x14ac:dyDescent="0.25">
      <c r="A184" s="302">
        <v>11.633333333333333</v>
      </c>
      <c r="B184" s="4">
        <v>630</v>
      </c>
      <c r="C184" s="4">
        <v>0</v>
      </c>
      <c r="D184" s="4">
        <v>186</v>
      </c>
      <c r="E184" s="4">
        <v>630</v>
      </c>
    </row>
    <row r="185" spans="1:5" x14ac:dyDescent="0.25">
      <c r="A185" s="302">
        <v>14.633333333333333</v>
      </c>
      <c r="B185" s="4">
        <v>698</v>
      </c>
      <c r="C185" s="4">
        <v>250</v>
      </c>
      <c r="D185" s="4">
        <v>250</v>
      </c>
      <c r="E185" s="4">
        <v>698</v>
      </c>
    </row>
    <row r="186" spans="1:5" x14ac:dyDescent="0.25">
      <c r="A186" s="302">
        <v>15.333333333333334</v>
      </c>
      <c r="B186" s="4">
        <v>2624</v>
      </c>
      <c r="C186" s="4">
        <v>1312</v>
      </c>
      <c r="D186" s="4">
        <v>1312</v>
      </c>
      <c r="E186" s="4">
        <v>2624</v>
      </c>
    </row>
    <row r="187" spans="1:5" x14ac:dyDescent="0.25">
      <c r="A187" s="302">
        <v>15.4</v>
      </c>
      <c r="B187" s="4">
        <v>2020</v>
      </c>
      <c r="C187" s="4">
        <v>1010</v>
      </c>
      <c r="D187" s="4">
        <v>1010</v>
      </c>
      <c r="E187" s="4">
        <v>2020</v>
      </c>
    </row>
    <row r="188" spans="1:5" x14ac:dyDescent="0.25">
      <c r="A188" s="302">
        <v>16.233333333333334</v>
      </c>
      <c r="B188" s="4"/>
      <c r="C188" s="4"/>
      <c r="D188" s="4"/>
      <c r="E188" s="4"/>
    </row>
    <row r="189" spans="1:5" x14ac:dyDescent="0.25">
      <c r="A189" s="302">
        <v>20.3</v>
      </c>
      <c r="B189" s="4"/>
      <c r="C189" s="4">
        <v>2573</v>
      </c>
      <c r="D189" s="4"/>
      <c r="E189" s="4"/>
    </row>
    <row r="190" spans="1:5" x14ac:dyDescent="0.25">
      <c r="A190" s="302">
        <v>21.333333333333332</v>
      </c>
      <c r="B190" s="4"/>
      <c r="C190" s="4">
        <v>6269</v>
      </c>
      <c r="D190" s="4"/>
      <c r="E190" s="4"/>
    </row>
    <row r="191" spans="1:5" x14ac:dyDescent="0.25">
      <c r="A191" s="302">
        <v>22.8</v>
      </c>
      <c r="B191" s="4">
        <v>807</v>
      </c>
      <c r="C191" s="4"/>
      <c r="D191" s="4">
        <v>700</v>
      </c>
      <c r="E191" s="4">
        <v>20</v>
      </c>
    </row>
    <row r="192" spans="1:5" x14ac:dyDescent="0.25">
      <c r="A192" s="302">
        <v>23.133333333333333</v>
      </c>
      <c r="B192" s="4">
        <v>10</v>
      </c>
      <c r="C192" s="4">
        <v>5</v>
      </c>
      <c r="D192" s="4">
        <v>5</v>
      </c>
      <c r="E192" s="4">
        <v>15</v>
      </c>
    </row>
    <row r="193" spans="1:5" x14ac:dyDescent="0.25">
      <c r="A193" s="302">
        <v>23.266666666666666</v>
      </c>
      <c r="B193" s="4">
        <v>52</v>
      </c>
      <c r="C193" s="4">
        <v>25</v>
      </c>
      <c r="D193" s="4">
        <v>26</v>
      </c>
      <c r="E193" s="4">
        <v>77</v>
      </c>
    </row>
    <row r="194" spans="1:5" x14ac:dyDescent="0.25">
      <c r="A194" s="302">
        <v>25.466666666666665</v>
      </c>
      <c r="B194" s="4"/>
      <c r="C194" s="4"/>
      <c r="D194" s="4"/>
      <c r="E194" s="4"/>
    </row>
    <row r="195" spans="1:5" x14ac:dyDescent="0.25">
      <c r="A195" s="302">
        <v>25.666666666666668</v>
      </c>
      <c r="B195" s="4"/>
      <c r="C195" s="4"/>
      <c r="D195" s="4"/>
      <c r="E195" s="4"/>
    </row>
    <row r="196" spans="1:5" x14ac:dyDescent="0.25">
      <c r="A196" s="302">
        <v>27.533333333333335</v>
      </c>
      <c r="B196" s="4">
        <v>1652</v>
      </c>
      <c r="C196" s="4">
        <v>99</v>
      </c>
      <c r="D196" s="4">
        <v>826</v>
      </c>
      <c r="E196" s="4">
        <v>1652</v>
      </c>
    </row>
    <row r="197" spans="1:5" x14ac:dyDescent="0.25">
      <c r="A197" s="302">
        <v>29.133333333333333</v>
      </c>
      <c r="B197" s="4">
        <v>668</v>
      </c>
      <c r="C197" s="4"/>
      <c r="D197" s="4">
        <v>334</v>
      </c>
      <c r="E197" s="4">
        <v>668</v>
      </c>
    </row>
    <row r="198" spans="1:5" x14ac:dyDescent="0.25">
      <c r="A198" s="302">
        <v>29.266666666666666</v>
      </c>
      <c r="B198" s="4">
        <v>1788</v>
      </c>
      <c r="C198" s="4">
        <v>5</v>
      </c>
      <c r="D198" s="4">
        <v>894</v>
      </c>
      <c r="E198" s="4">
        <v>1788</v>
      </c>
    </row>
    <row r="199" spans="1:5" x14ac:dyDescent="0.25">
      <c r="A199" s="302">
        <v>29.433333333333334</v>
      </c>
      <c r="B199" s="4">
        <v>2422</v>
      </c>
      <c r="C199" s="4">
        <v>1176</v>
      </c>
      <c r="D199" s="4">
        <v>1211</v>
      </c>
      <c r="E199" s="4">
        <v>2422</v>
      </c>
    </row>
    <row r="200" spans="1:5" x14ac:dyDescent="0.25">
      <c r="A200" s="302">
        <v>30.766666666666666</v>
      </c>
      <c r="B200" s="4"/>
      <c r="C200" s="4"/>
      <c r="D200" s="4"/>
      <c r="E200" s="4"/>
    </row>
    <row r="201" spans="1:5" x14ac:dyDescent="0.25">
      <c r="A201" s="302">
        <v>31.5</v>
      </c>
      <c r="B201" s="4"/>
      <c r="C201" s="4"/>
      <c r="D201" s="4"/>
      <c r="E201" s="4">
        <v>1</v>
      </c>
    </row>
    <row r="202" spans="1:5" x14ac:dyDescent="0.25">
      <c r="A202" s="302">
        <v>32.1</v>
      </c>
      <c r="B202" s="4"/>
      <c r="C202" s="4"/>
      <c r="D202" s="4"/>
      <c r="E202" s="4">
        <v>54</v>
      </c>
    </row>
    <row r="203" spans="1:5" x14ac:dyDescent="0.25">
      <c r="A203" s="302">
        <v>32.200000000000003</v>
      </c>
      <c r="B203" s="4"/>
      <c r="C203" s="4"/>
      <c r="D203" s="4"/>
      <c r="E203" s="4">
        <v>90</v>
      </c>
    </row>
    <row r="204" spans="1:5" x14ac:dyDescent="0.25">
      <c r="A204" s="302">
        <v>32.333333333333336</v>
      </c>
      <c r="B204" s="4"/>
      <c r="C204" s="4"/>
      <c r="D204" s="4"/>
      <c r="E204" s="4">
        <v>90</v>
      </c>
    </row>
    <row r="205" spans="1:5" x14ac:dyDescent="0.25">
      <c r="A205" s="302">
        <v>33.06666666666667</v>
      </c>
      <c r="B205" s="4">
        <v>722</v>
      </c>
      <c r="C205" s="4">
        <v>294</v>
      </c>
      <c r="D205" s="4">
        <v>147</v>
      </c>
      <c r="E205" s="4">
        <v>294</v>
      </c>
    </row>
    <row r="206" spans="1:5" x14ac:dyDescent="0.25">
      <c r="A206" s="302">
        <v>33.366666666666667</v>
      </c>
      <c r="B206" s="4">
        <v>34</v>
      </c>
      <c r="C206" s="4">
        <v>0</v>
      </c>
      <c r="D206" s="4"/>
      <c r="E206" s="4">
        <v>0</v>
      </c>
    </row>
    <row r="207" spans="1:5" x14ac:dyDescent="0.25">
      <c r="A207" s="302">
        <v>33.766666666666666</v>
      </c>
      <c r="B207" s="4"/>
      <c r="C207" s="4"/>
      <c r="D207" s="4"/>
      <c r="E207" s="4"/>
    </row>
    <row r="208" spans="1:5" x14ac:dyDescent="0.25">
      <c r="A208" s="302">
        <v>34.43333333333333</v>
      </c>
      <c r="B208" s="4"/>
      <c r="C208" s="4"/>
      <c r="D208" s="4"/>
      <c r="E208" s="4"/>
    </row>
    <row r="209" spans="1:5" x14ac:dyDescent="0.25">
      <c r="A209" s="302">
        <v>34.700000000000003</v>
      </c>
      <c r="B209" s="4"/>
      <c r="C209" s="4"/>
      <c r="D209" s="4"/>
      <c r="E209" s="4"/>
    </row>
    <row r="210" spans="1:5" x14ac:dyDescent="0.25">
      <c r="A210" s="302">
        <v>35.266666666666666</v>
      </c>
      <c r="B210" s="4">
        <v>1271</v>
      </c>
      <c r="C210" s="4">
        <v>642</v>
      </c>
      <c r="D210" s="4">
        <v>321</v>
      </c>
      <c r="E210" s="4">
        <v>642</v>
      </c>
    </row>
    <row r="211" spans="1:5" x14ac:dyDescent="0.25">
      <c r="A211" s="302">
        <v>35.733333333333334</v>
      </c>
      <c r="B211" s="4"/>
      <c r="C211" s="4">
        <v>2860</v>
      </c>
      <c r="D211" s="4"/>
      <c r="E211" s="4"/>
    </row>
    <row r="212" spans="1:5" x14ac:dyDescent="0.25">
      <c r="A212" s="302">
        <v>35.766666666666666</v>
      </c>
      <c r="B212" s="4"/>
      <c r="C212" s="4">
        <v>1180</v>
      </c>
      <c r="D212" s="4"/>
      <c r="E212" s="4"/>
    </row>
    <row r="213" spans="1:5" x14ac:dyDescent="0.25">
      <c r="A213" s="302">
        <v>35.93333333333333</v>
      </c>
      <c r="B213" s="4">
        <v>334</v>
      </c>
      <c r="C213" s="4">
        <v>80</v>
      </c>
      <c r="D213" s="4">
        <v>80</v>
      </c>
      <c r="E213" s="4">
        <v>334</v>
      </c>
    </row>
    <row r="214" spans="1:5" x14ac:dyDescent="0.25">
      <c r="A214" s="302">
        <v>35.966666666666669</v>
      </c>
      <c r="B214" s="4">
        <v>1038</v>
      </c>
      <c r="C214" s="4"/>
      <c r="D214" s="4"/>
      <c r="E214" s="4">
        <v>632</v>
      </c>
    </row>
    <row r="215" spans="1:5" x14ac:dyDescent="0.25">
      <c r="A215" s="302">
        <v>36</v>
      </c>
      <c r="B215" s="4"/>
      <c r="C215" s="4"/>
      <c r="D215" s="4"/>
      <c r="E215" s="4">
        <v>60</v>
      </c>
    </row>
    <row r="216" spans="1:5" x14ac:dyDescent="0.25">
      <c r="A216" s="302">
        <v>36.033333333333331</v>
      </c>
      <c r="B216" s="4">
        <v>612</v>
      </c>
      <c r="C216" s="4"/>
      <c r="D216" s="4">
        <v>86</v>
      </c>
      <c r="E216" s="4">
        <v>562</v>
      </c>
    </row>
    <row r="217" spans="1:5" x14ac:dyDescent="0.25">
      <c r="A217" s="302">
        <v>36.06666666666667</v>
      </c>
      <c r="B217" s="4"/>
      <c r="C217" s="4"/>
      <c r="D217" s="4"/>
      <c r="E217" s="4">
        <v>55</v>
      </c>
    </row>
    <row r="218" spans="1:5" x14ac:dyDescent="0.25">
      <c r="A218" s="302">
        <v>36.1</v>
      </c>
      <c r="B218" s="4">
        <v>1450</v>
      </c>
      <c r="C218" s="4"/>
      <c r="D218" s="4">
        <v>774</v>
      </c>
      <c r="E218" s="4">
        <v>1160</v>
      </c>
    </row>
    <row r="219" spans="1:5" x14ac:dyDescent="0.25">
      <c r="A219" s="302">
        <v>36.133333333333333</v>
      </c>
      <c r="B219" s="4"/>
      <c r="C219" s="4"/>
      <c r="D219" s="4"/>
      <c r="E219" s="4">
        <v>50</v>
      </c>
    </row>
    <row r="220" spans="1:5" x14ac:dyDescent="0.25">
      <c r="A220" s="302">
        <v>36.200000000000003</v>
      </c>
      <c r="B220" s="4">
        <v>996</v>
      </c>
      <c r="C220" s="4">
        <v>298</v>
      </c>
      <c r="D220" s="4">
        <v>498</v>
      </c>
      <c r="E220" s="4">
        <v>996</v>
      </c>
    </row>
    <row r="221" spans="1:5" x14ac:dyDescent="0.25">
      <c r="A221" s="302">
        <v>36.366666666666667</v>
      </c>
      <c r="B221" s="4"/>
      <c r="C221" s="4"/>
      <c r="D221" s="4"/>
      <c r="E221" s="4">
        <v>50</v>
      </c>
    </row>
    <row r="222" spans="1:5" x14ac:dyDescent="0.25">
      <c r="A222" s="302">
        <v>36.833333333333336</v>
      </c>
      <c r="B222" s="4">
        <v>199</v>
      </c>
      <c r="C222" s="4">
        <v>509</v>
      </c>
      <c r="D222" s="4"/>
      <c r="E222" s="4">
        <v>172</v>
      </c>
    </row>
    <row r="223" spans="1:5" x14ac:dyDescent="0.25">
      <c r="A223" s="302">
        <v>36.9</v>
      </c>
      <c r="B223" s="4">
        <v>2295</v>
      </c>
      <c r="C223" s="4">
        <v>1805</v>
      </c>
      <c r="D223" s="4">
        <v>2185</v>
      </c>
      <c r="E223" s="4">
        <v>3212</v>
      </c>
    </row>
    <row r="224" spans="1:5" x14ac:dyDescent="0.25">
      <c r="A224" s="302">
        <v>37.43333333333333</v>
      </c>
      <c r="B224" s="4">
        <v>862</v>
      </c>
      <c r="C224" s="4">
        <v>500</v>
      </c>
      <c r="D224" s="4">
        <v>862</v>
      </c>
      <c r="E224" s="4">
        <v>862</v>
      </c>
    </row>
    <row r="225" spans="1:5" x14ac:dyDescent="0.25">
      <c r="A225" s="302">
        <v>37.466666666666669</v>
      </c>
      <c r="B225" s="4"/>
      <c r="C225" s="4">
        <v>85</v>
      </c>
      <c r="D225" s="4"/>
      <c r="E225" s="4"/>
    </row>
    <row r="226" spans="1:5" x14ac:dyDescent="0.25">
      <c r="A226" s="302">
        <v>37.533333333333331</v>
      </c>
      <c r="B226" s="4"/>
      <c r="C226" s="4">
        <v>240</v>
      </c>
      <c r="D226" s="4"/>
      <c r="E226" s="4"/>
    </row>
    <row r="227" spans="1:5" x14ac:dyDescent="0.25">
      <c r="A227" s="302">
        <v>38.366666666666667</v>
      </c>
      <c r="B227" s="4"/>
      <c r="C227" s="4">
        <v>100</v>
      </c>
      <c r="D227" s="4"/>
      <c r="E227" s="4"/>
    </row>
    <row r="228" spans="1:5" x14ac:dyDescent="0.25">
      <c r="A228" s="302">
        <v>39.333333333333336</v>
      </c>
      <c r="B228" s="4"/>
      <c r="C228" s="4">
        <v>55</v>
      </c>
      <c r="D228" s="4"/>
      <c r="E228" s="4"/>
    </row>
    <row r="229" spans="1:5" x14ac:dyDescent="0.25">
      <c r="A229" s="302">
        <v>39.4</v>
      </c>
      <c r="B229" s="4"/>
      <c r="C229" s="4"/>
      <c r="D229" s="4"/>
      <c r="E229" s="4">
        <v>65</v>
      </c>
    </row>
    <row r="230" spans="1:5" x14ac:dyDescent="0.25">
      <c r="A230" s="302">
        <v>39.533333333333331</v>
      </c>
      <c r="B230" s="4"/>
      <c r="C230" s="4"/>
      <c r="D230" s="4"/>
      <c r="E230" s="4">
        <v>60</v>
      </c>
    </row>
    <row r="231" spans="1:5" x14ac:dyDescent="0.25">
      <c r="A231" s="302">
        <v>39.766666666666666</v>
      </c>
      <c r="B231" s="4"/>
      <c r="C231" s="4">
        <v>595</v>
      </c>
      <c r="D231" s="4">
        <v>40</v>
      </c>
      <c r="E231" s="4">
        <v>290</v>
      </c>
    </row>
    <row r="232" spans="1:5" x14ac:dyDescent="0.25">
      <c r="A232" s="302">
        <v>39.833333333333336</v>
      </c>
      <c r="B232" s="4"/>
      <c r="C232" s="4">
        <v>805</v>
      </c>
      <c r="D232" s="4"/>
      <c r="E232" s="4"/>
    </row>
    <row r="233" spans="1:5" x14ac:dyDescent="0.25">
      <c r="A233" s="302">
        <v>40.43333333333333</v>
      </c>
      <c r="B233" s="4"/>
      <c r="C233" s="4">
        <v>98</v>
      </c>
      <c r="D233" s="4"/>
      <c r="E233" s="4"/>
    </row>
    <row r="234" spans="1:5" x14ac:dyDescent="0.25">
      <c r="A234" s="302">
        <v>40.93333333333333</v>
      </c>
      <c r="B234" s="4"/>
      <c r="C234" s="4">
        <v>117</v>
      </c>
      <c r="D234" s="4"/>
      <c r="E234" s="4"/>
    </row>
    <row r="235" spans="1:5" x14ac:dyDescent="0.25">
      <c r="A235" s="302">
        <v>40.966666666666669</v>
      </c>
      <c r="B235" s="4"/>
      <c r="C235" s="4">
        <v>383</v>
      </c>
      <c r="D235" s="4"/>
      <c r="E235" s="4"/>
    </row>
    <row r="236" spans="1:5" x14ac:dyDescent="0.25">
      <c r="A236" s="302">
        <v>41</v>
      </c>
      <c r="B236" s="4"/>
      <c r="C236" s="4">
        <v>572</v>
      </c>
      <c r="D236" s="4"/>
      <c r="E236" s="4"/>
    </row>
    <row r="237" spans="1:5" x14ac:dyDescent="0.25">
      <c r="A237" s="302">
        <v>41.033333333333331</v>
      </c>
      <c r="B237" s="4"/>
      <c r="C237" s="4">
        <v>369</v>
      </c>
      <c r="D237" s="4"/>
      <c r="E237" s="4"/>
    </row>
    <row r="238" spans="1:5" x14ac:dyDescent="0.25">
      <c r="A238" s="302">
        <v>41.06666666666667</v>
      </c>
      <c r="B238" s="4"/>
      <c r="C238" s="4">
        <v>630</v>
      </c>
      <c r="D238" s="4"/>
      <c r="E238" s="4"/>
    </row>
    <row r="239" spans="1:5" x14ac:dyDescent="0.25">
      <c r="A239" s="302">
        <v>41.1</v>
      </c>
      <c r="B239" s="4"/>
      <c r="C239" s="4">
        <v>120</v>
      </c>
      <c r="D239" s="4"/>
      <c r="E239" s="4"/>
    </row>
    <row r="240" spans="1:5" x14ac:dyDescent="0.25">
      <c r="A240" s="302">
        <v>41.133333333333333</v>
      </c>
      <c r="B240" s="4"/>
      <c r="C240" s="4">
        <v>350</v>
      </c>
      <c r="D240" s="4"/>
      <c r="E240" s="4"/>
    </row>
    <row r="241" spans="1:5" x14ac:dyDescent="0.25">
      <c r="A241" s="302">
        <v>41.233333333333334</v>
      </c>
      <c r="B241" s="4"/>
      <c r="C241" s="4">
        <v>4</v>
      </c>
      <c r="D241" s="4"/>
      <c r="E241" s="4"/>
    </row>
    <row r="242" spans="1:5" x14ac:dyDescent="0.25">
      <c r="A242" s="302">
        <v>41.266666666666666</v>
      </c>
      <c r="B242" s="4"/>
      <c r="C242" s="4">
        <v>492</v>
      </c>
      <c r="D242" s="4"/>
      <c r="E242" s="4"/>
    </row>
    <row r="243" spans="1:5" x14ac:dyDescent="0.25">
      <c r="A243" s="302">
        <v>41.3</v>
      </c>
      <c r="B243" s="4"/>
      <c r="C243" s="4">
        <v>86</v>
      </c>
      <c r="D243" s="4"/>
      <c r="E243" s="4"/>
    </row>
    <row r="244" spans="1:5" x14ac:dyDescent="0.25">
      <c r="A244" s="302">
        <v>41.333333333333336</v>
      </c>
      <c r="B244" s="4"/>
      <c r="C244" s="4">
        <v>194</v>
      </c>
      <c r="D244" s="4"/>
      <c r="E244" s="4"/>
    </row>
    <row r="245" spans="1:5" x14ac:dyDescent="0.25">
      <c r="A245" s="302">
        <v>41.4</v>
      </c>
      <c r="B245" s="4"/>
      <c r="C245" s="4">
        <v>295</v>
      </c>
      <c r="D245" s="4"/>
      <c r="E245" s="4"/>
    </row>
    <row r="246" spans="1:5" x14ac:dyDescent="0.25">
      <c r="A246" s="302">
        <v>41.466666666666669</v>
      </c>
      <c r="B246" s="4"/>
      <c r="C246" s="4">
        <v>749</v>
      </c>
      <c r="D246" s="4"/>
      <c r="E246" s="4"/>
    </row>
    <row r="247" spans="1:5" x14ac:dyDescent="0.25">
      <c r="A247" s="302">
        <v>41.633333333333333</v>
      </c>
      <c r="B247" s="4"/>
      <c r="C247" s="4">
        <v>239</v>
      </c>
      <c r="D247" s="4"/>
      <c r="E247" s="4"/>
    </row>
    <row r="248" spans="1:5" x14ac:dyDescent="0.25">
      <c r="A248" s="302">
        <v>41.666666666666664</v>
      </c>
      <c r="B248" s="4"/>
      <c r="C248" s="4">
        <v>431</v>
      </c>
      <c r="D248" s="4"/>
      <c r="E248" s="4"/>
    </row>
    <row r="249" spans="1:5" x14ac:dyDescent="0.25">
      <c r="A249" s="302">
        <v>41.7</v>
      </c>
      <c r="B249" s="4"/>
      <c r="C249" s="4">
        <v>461</v>
      </c>
      <c r="D249" s="4"/>
      <c r="E249" s="4"/>
    </row>
    <row r="250" spans="1:5" x14ac:dyDescent="0.25">
      <c r="A250" s="302">
        <v>41.733333333333334</v>
      </c>
      <c r="B250" s="4"/>
      <c r="C250" s="4">
        <v>331</v>
      </c>
      <c r="D250" s="4"/>
      <c r="E250" s="4"/>
    </row>
    <row r="251" spans="1:5" x14ac:dyDescent="0.25">
      <c r="A251" s="302">
        <v>0.93333333333333335</v>
      </c>
      <c r="B251" s="4">
        <v>0</v>
      </c>
      <c r="C251" s="4">
        <v>7</v>
      </c>
      <c r="D251" s="4">
        <v>0</v>
      </c>
      <c r="E251" s="4">
        <v>0</v>
      </c>
    </row>
    <row r="252" spans="1:5" x14ac:dyDescent="0.25">
      <c r="A252" s="302" t="s">
        <v>215</v>
      </c>
      <c r="B252" s="4">
        <v>70875</v>
      </c>
      <c r="C252" s="4">
        <v>58177</v>
      </c>
      <c r="D252" s="4">
        <v>30887</v>
      </c>
      <c r="E252" s="4">
        <v>70292</v>
      </c>
    </row>
  </sheetData>
  <sortState ref="A8:T17">
    <sortCondition ref="A8:A17"/>
  </sortState>
  <mergeCells count="10">
    <mergeCell ref="L20:O20"/>
    <mergeCell ref="A20:A21"/>
    <mergeCell ref="B20:B21"/>
    <mergeCell ref="C20:C21"/>
    <mergeCell ref="D20:G20"/>
    <mergeCell ref="A2:H2"/>
    <mergeCell ref="A3:H3"/>
    <mergeCell ref="A5:A6"/>
    <mergeCell ref="B5:B6"/>
    <mergeCell ref="C5:C6"/>
  </mergeCells>
  <pageMargins left="0.23622047244094491" right="0.23622047244094491" top="0.15748031496062992" bottom="0.55118110236220474" header="0" footer="0"/>
  <pageSetup paperSize="9" orientation="portrait" r:id="rId4"/>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pageSetUpPr fitToPage="1"/>
  </sheetPr>
  <dimension ref="A1:BI101"/>
  <sheetViews>
    <sheetView showZeros="0" zoomScale="80" zoomScaleNormal="80" workbookViewId="0">
      <pane ySplit="3" topLeftCell="A4" activePane="bottomLeft" state="frozen"/>
      <selection activeCell="H42" sqref="H42"/>
      <selection pane="bottomLeft" activeCell="X29" sqref="X29"/>
    </sheetView>
  </sheetViews>
  <sheetFormatPr defaultColWidth="11.42578125" defaultRowHeight="15" x14ac:dyDescent="0.25"/>
  <cols>
    <col min="1" max="1" width="3" style="102" customWidth="1"/>
    <col min="2" max="2" width="1.28515625" style="102" customWidth="1"/>
    <col min="3" max="3" width="2.7109375" style="47" customWidth="1"/>
    <col min="4" max="4" width="24.85546875" style="46" bestFit="1" customWidth="1"/>
    <col min="5" max="5" width="10.5703125" style="46" bestFit="1" customWidth="1"/>
    <col min="6" max="6" width="13.42578125" style="46" customWidth="1"/>
    <col min="7" max="7" width="16" style="46" customWidth="1"/>
    <col min="8" max="8" width="13.28515625" style="46" customWidth="1"/>
    <col min="9" max="9" width="8.42578125" style="46" bestFit="1" customWidth="1"/>
    <col min="10" max="10" width="10.5703125" style="46" customWidth="1"/>
    <col min="11" max="11" width="18.28515625" style="46" customWidth="1"/>
    <col min="12" max="12" width="15.42578125" style="46" customWidth="1"/>
    <col min="13" max="13" width="10.7109375" style="46" customWidth="1"/>
    <col min="14" max="14" width="11.85546875" style="46" customWidth="1"/>
    <col min="15" max="16" width="9.5703125" style="46" bestFit="1" customWidth="1"/>
    <col min="17" max="18" width="9.28515625" style="47" hidden="1" customWidth="1"/>
    <col min="19" max="19" width="11.42578125" style="47" hidden="1" customWidth="1"/>
    <col min="20" max="20" width="2.28515625" style="47" customWidth="1"/>
    <col min="21" max="28" width="11.42578125" style="47" customWidth="1"/>
    <col min="29" max="258" width="11.42578125" style="46"/>
    <col min="259" max="259" width="5.28515625" style="46" customWidth="1"/>
    <col min="260" max="260" width="15.28515625" style="46" customWidth="1"/>
    <col min="261" max="261" width="14.42578125" style="46" bestFit="1" customWidth="1"/>
    <col min="262" max="262" width="10.42578125" style="46" bestFit="1" customWidth="1"/>
    <col min="263" max="263" width="12.28515625" style="46" customWidth="1"/>
    <col min="264" max="268" width="11.42578125" style="46" customWidth="1"/>
    <col min="269" max="270" width="10.5703125" style="46" bestFit="1" customWidth="1"/>
    <col min="271" max="272" width="11.42578125" style="46" customWidth="1"/>
    <col min="273" max="273" width="6.140625" style="46" customWidth="1"/>
    <col min="274" max="284" width="11.42578125" style="46" customWidth="1"/>
    <col min="285" max="514" width="11.42578125" style="46"/>
    <col min="515" max="515" width="5.28515625" style="46" customWidth="1"/>
    <col min="516" max="516" width="15.28515625" style="46" customWidth="1"/>
    <col min="517" max="517" width="14.42578125" style="46" bestFit="1" customWidth="1"/>
    <col min="518" max="518" width="10.42578125" style="46" bestFit="1" customWidth="1"/>
    <col min="519" max="519" width="12.28515625" style="46" customWidth="1"/>
    <col min="520" max="524" width="11.42578125" style="46" customWidth="1"/>
    <col min="525" max="526" width="10.5703125" style="46" bestFit="1" customWidth="1"/>
    <col min="527" max="528" width="11.42578125" style="46" customWidth="1"/>
    <col min="529" max="529" width="6.140625" style="46" customWidth="1"/>
    <col min="530" max="540" width="11.42578125" style="46" customWidth="1"/>
    <col min="541" max="770" width="11.42578125" style="46"/>
    <col min="771" max="771" width="5.28515625" style="46" customWidth="1"/>
    <col min="772" max="772" width="15.28515625" style="46" customWidth="1"/>
    <col min="773" max="773" width="14.42578125" style="46" bestFit="1" customWidth="1"/>
    <col min="774" max="774" width="10.42578125" style="46" bestFit="1" customWidth="1"/>
    <col min="775" max="775" width="12.28515625" style="46" customWidth="1"/>
    <col min="776" max="780" width="11.42578125" style="46" customWidth="1"/>
    <col min="781" max="782" width="10.5703125" style="46" bestFit="1" customWidth="1"/>
    <col min="783" max="784" width="11.42578125" style="46" customWidth="1"/>
    <col min="785" max="785" width="6.140625" style="46" customWidth="1"/>
    <col min="786" max="796" width="11.42578125" style="46" customWidth="1"/>
    <col min="797" max="1026" width="11.42578125" style="46"/>
    <col min="1027" max="1027" width="5.28515625" style="46" customWidth="1"/>
    <col min="1028" max="1028" width="15.28515625" style="46" customWidth="1"/>
    <col min="1029" max="1029" width="14.42578125" style="46" bestFit="1" customWidth="1"/>
    <col min="1030" max="1030" width="10.42578125" style="46" bestFit="1" customWidth="1"/>
    <col min="1031" max="1031" width="12.28515625" style="46" customWidth="1"/>
    <col min="1032" max="1036" width="11.42578125" style="46" customWidth="1"/>
    <col min="1037" max="1038" width="10.5703125" style="46" bestFit="1" customWidth="1"/>
    <col min="1039" max="1040" width="11.42578125" style="46" customWidth="1"/>
    <col min="1041" max="1041" width="6.140625" style="46" customWidth="1"/>
    <col min="1042" max="1052" width="11.42578125" style="46" customWidth="1"/>
    <col min="1053" max="1282" width="11.42578125" style="46"/>
    <col min="1283" max="1283" width="5.28515625" style="46" customWidth="1"/>
    <col min="1284" max="1284" width="15.28515625" style="46" customWidth="1"/>
    <col min="1285" max="1285" width="14.42578125" style="46" bestFit="1" customWidth="1"/>
    <col min="1286" max="1286" width="10.42578125" style="46" bestFit="1" customWidth="1"/>
    <col min="1287" max="1287" width="12.28515625" style="46" customWidth="1"/>
    <col min="1288" max="1292" width="11.42578125" style="46" customWidth="1"/>
    <col min="1293" max="1294" width="10.5703125" style="46" bestFit="1" customWidth="1"/>
    <col min="1295" max="1296" width="11.42578125" style="46" customWidth="1"/>
    <col min="1297" max="1297" width="6.140625" style="46" customWidth="1"/>
    <col min="1298" max="1308" width="11.42578125" style="46" customWidth="1"/>
    <col min="1309" max="1538" width="11.42578125" style="46"/>
    <col min="1539" max="1539" width="5.28515625" style="46" customWidth="1"/>
    <col min="1540" max="1540" width="15.28515625" style="46" customWidth="1"/>
    <col min="1541" max="1541" width="14.42578125" style="46" bestFit="1" customWidth="1"/>
    <col min="1542" max="1542" width="10.42578125" style="46" bestFit="1" customWidth="1"/>
    <col min="1543" max="1543" width="12.28515625" style="46" customWidth="1"/>
    <col min="1544" max="1548" width="11.42578125" style="46" customWidth="1"/>
    <col min="1549" max="1550" width="10.5703125" style="46" bestFit="1" customWidth="1"/>
    <col min="1551" max="1552" width="11.42578125" style="46" customWidth="1"/>
    <col min="1553" max="1553" width="6.140625" style="46" customWidth="1"/>
    <col min="1554" max="1564" width="11.42578125" style="46" customWidth="1"/>
    <col min="1565" max="1794" width="11.42578125" style="46"/>
    <col min="1795" max="1795" width="5.28515625" style="46" customWidth="1"/>
    <col min="1796" max="1796" width="15.28515625" style="46" customWidth="1"/>
    <col min="1797" max="1797" width="14.42578125" style="46" bestFit="1" customWidth="1"/>
    <col min="1798" max="1798" width="10.42578125" style="46" bestFit="1" customWidth="1"/>
    <col min="1799" max="1799" width="12.28515625" style="46" customWidth="1"/>
    <col min="1800" max="1804" width="11.42578125" style="46" customWidth="1"/>
    <col min="1805" max="1806" width="10.5703125" style="46" bestFit="1" customWidth="1"/>
    <col min="1807" max="1808" width="11.42578125" style="46" customWidth="1"/>
    <col min="1809" max="1809" width="6.140625" style="46" customWidth="1"/>
    <col min="1810" max="1820" width="11.42578125" style="46" customWidth="1"/>
    <col min="1821" max="2050" width="11.42578125" style="46"/>
    <col min="2051" max="2051" width="5.28515625" style="46" customWidth="1"/>
    <col min="2052" max="2052" width="15.28515625" style="46" customWidth="1"/>
    <col min="2053" max="2053" width="14.42578125" style="46" bestFit="1" customWidth="1"/>
    <col min="2054" max="2054" width="10.42578125" style="46" bestFit="1" customWidth="1"/>
    <col min="2055" max="2055" width="12.28515625" style="46" customWidth="1"/>
    <col min="2056" max="2060" width="11.42578125" style="46" customWidth="1"/>
    <col min="2061" max="2062" width="10.5703125" style="46" bestFit="1" customWidth="1"/>
    <col min="2063" max="2064" width="11.42578125" style="46" customWidth="1"/>
    <col min="2065" max="2065" width="6.140625" style="46" customWidth="1"/>
    <col min="2066" max="2076" width="11.42578125" style="46" customWidth="1"/>
    <col min="2077" max="2306" width="11.42578125" style="46"/>
    <col min="2307" max="2307" width="5.28515625" style="46" customWidth="1"/>
    <col min="2308" max="2308" width="15.28515625" style="46" customWidth="1"/>
    <col min="2309" max="2309" width="14.42578125" style="46" bestFit="1" customWidth="1"/>
    <col min="2310" max="2310" width="10.42578125" style="46" bestFit="1" customWidth="1"/>
    <col min="2311" max="2311" width="12.28515625" style="46" customWidth="1"/>
    <col min="2312" max="2316" width="11.42578125" style="46" customWidth="1"/>
    <col min="2317" max="2318" width="10.5703125" style="46" bestFit="1" customWidth="1"/>
    <col min="2319" max="2320" width="11.42578125" style="46" customWidth="1"/>
    <col min="2321" max="2321" width="6.140625" style="46" customWidth="1"/>
    <col min="2322" max="2332" width="11.42578125" style="46" customWidth="1"/>
    <col min="2333" max="2562" width="11.42578125" style="46"/>
    <col min="2563" max="2563" width="5.28515625" style="46" customWidth="1"/>
    <col min="2564" max="2564" width="15.28515625" style="46" customWidth="1"/>
    <col min="2565" max="2565" width="14.42578125" style="46" bestFit="1" customWidth="1"/>
    <col min="2566" max="2566" width="10.42578125" style="46" bestFit="1" customWidth="1"/>
    <col min="2567" max="2567" width="12.28515625" style="46" customWidth="1"/>
    <col min="2568" max="2572" width="11.42578125" style="46" customWidth="1"/>
    <col min="2573" max="2574" width="10.5703125" style="46" bestFit="1" customWidth="1"/>
    <col min="2575" max="2576" width="11.42578125" style="46" customWidth="1"/>
    <col min="2577" max="2577" width="6.140625" style="46" customWidth="1"/>
    <col min="2578" max="2588" width="11.42578125" style="46" customWidth="1"/>
    <col min="2589" max="2818" width="11.42578125" style="46"/>
    <col min="2819" max="2819" width="5.28515625" style="46" customWidth="1"/>
    <col min="2820" max="2820" width="15.28515625" style="46" customWidth="1"/>
    <col min="2821" max="2821" width="14.42578125" style="46" bestFit="1" customWidth="1"/>
    <col min="2822" max="2822" width="10.42578125" style="46" bestFit="1" customWidth="1"/>
    <col min="2823" max="2823" width="12.28515625" style="46" customWidth="1"/>
    <col min="2824" max="2828" width="11.42578125" style="46" customWidth="1"/>
    <col min="2829" max="2830" width="10.5703125" style="46" bestFit="1" customWidth="1"/>
    <col min="2831" max="2832" width="11.42578125" style="46" customWidth="1"/>
    <col min="2833" max="2833" width="6.140625" style="46" customWidth="1"/>
    <col min="2834" max="2844" width="11.42578125" style="46" customWidth="1"/>
    <col min="2845" max="3074" width="11.42578125" style="46"/>
    <col min="3075" max="3075" width="5.28515625" style="46" customWidth="1"/>
    <col min="3076" max="3076" width="15.28515625" style="46" customWidth="1"/>
    <col min="3077" max="3077" width="14.42578125" style="46" bestFit="1" customWidth="1"/>
    <col min="3078" max="3078" width="10.42578125" style="46" bestFit="1" customWidth="1"/>
    <col min="3079" max="3079" width="12.28515625" style="46" customWidth="1"/>
    <col min="3080" max="3084" width="11.42578125" style="46" customWidth="1"/>
    <col min="3085" max="3086" width="10.5703125" style="46" bestFit="1" customWidth="1"/>
    <col min="3087" max="3088" width="11.42578125" style="46" customWidth="1"/>
    <col min="3089" max="3089" width="6.140625" style="46" customWidth="1"/>
    <col min="3090" max="3100" width="11.42578125" style="46" customWidth="1"/>
    <col min="3101" max="3330" width="11.42578125" style="46"/>
    <col min="3331" max="3331" width="5.28515625" style="46" customWidth="1"/>
    <col min="3332" max="3332" width="15.28515625" style="46" customWidth="1"/>
    <col min="3333" max="3333" width="14.42578125" style="46" bestFit="1" customWidth="1"/>
    <col min="3334" max="3334" width="10.42578125" style="46" bestFit="1" customWidth="1"/>
    <col min="3335" max="3335" width="12.28515625" style="46" customWidth="1"/>
    <col min="3336" max="3340" width="11.42578125" style="46" customWidth="1"/>
    <col min="3341" max="3342" width="10.5703125" style="46" bestFit="1" customWidth="1"/>
    <col min="3343" max="3344" width="11.42578125" style="46" customWidth="1"/>
    <col min="3345" max="3345" width="6.140625" style="46" customWidth="1"/>
    <col min="3346" max="3356" width="11.42578125" style="46" customWidth="1"/>
    <col min="3357" max="3586" width="11.42578125" style="46"/>
    <col min="3587" max="3587" width="5.28515625" style="46" customWidth="1"/>
    <col min="3588" max="3588" width="15.28515625" style="46" customWidth="1"/>
    <col min="3589" max="3589" width="14.42578125" style="46" bestFit="1" customWidth="1"/>
    <col min="3590" max="3590" width="10.42578125" style="46" bestFit="1" customWidth="1"/>
    <col min="3591" max="3591" width="12.28515625" style="46" customWidth="1"/>
    <col min="3592" max="3596" width="11.42578125" style="46" customWidth="1"/>
    <col min="3597" max="3598" width="10.5703125" style="46" bestFit="1" customWidth="1"/>
    <col min="3599" max="3600" width="11.42578125" style="46" customWidth="1"/>
    <col min="3601" max="3601" width="6.140625" style="46" customWidth="1"/>
    <col min="3602" max="3612" width="11.42578125" style="46" customWidth="1"/>
    <col min="3613" max="3842" width="11.42578125" style="46"/>
    <col min="3843" max="3843" width="5.28515625" style="46" customWidth="1"/>
    <col min="3844" max="3844" width="15.28515625" style="46" customWidth="1"/>
    <col min="3845" max="3845" width="14.42578125" style="46" bestFit="1" customWidth="1"/>
    <col min="3846" max="3846" width="10.42578125" style="46" bestFit="1" customWidth="1"/>
    <col min="3847" max="3847" width="12.28515625" style="46" customWidth="1"/>
    <col min="3848" max="3852" width="11.42578125" style="46" customWidth="1"/>
    <col min="3853" max="3854" width="10.5703125" style="46" bestFit="1" customWidth="1"/>
    <col min="3855" max="3856" width="11.42578125" style="46" customWidth="1"/>
    <col min="3857" max="3857" width="6.140625" style="46" customWidth="1"/>
    <col min="3858" max="3868" width="11.42578125" style="46" customWidth="1"/>
    <col min="3869" max="4098" width="11.42578125" style="46"/>
    <col min="4099" max="4099" width="5.28515625" style="46" customWidth="1"/>
    <col min="4100" max="4100" width="15.28515625" style="46" customWidth="1"/>
    <col min="4101" max="4101" width="14.42578125" style="46" bestFit="1" customWidth="1"/>
    <col min="4102" max="4102" width="10.42578125" style="46" bestFit="1" customWidth="1"/>
    <col min="4103" max="4103" width="12.28515625" style="46" customWidth="1"/>
    <col min="4104" max="4108" width="11.42578125" style="46" customWidth="1"/>
    <col min="4109" max="4110" width="10.5703125" style="46" bestFit="1" customWidth="1"/>
    <col min="4111" max="4112" width="11.42578125" style="46" customWidth="1"/>
    <col min="4113" max="4113" width="6.140625" style="46" customWidth="1"/>
    <col min="4114" max="4124" width="11.42578125" style="46" customWidth="1"/>
    <col min="4125" max="4354" width="11.42578125" style="46"/>
    <col min="4355" max="4355" width="5.28515625" style="46" customWidth="1"/>
    <col min="4356" max="4356" width="15.28515625" style="46" customWidth="1"/>
    <col min="4357" max="4357" width="14.42578125" style="46" bestFit="1" customWidth="1"/>
    <col min="4358" max="4358" width="10.42578125" style="46" bestFit="1" customWidth="1"/>
    <col min="4359" max="4359" width="12.28515625" style="46" customWidth="1"/>
    <col min="4360" max="4364" width="11.42578125" style="46" customWidth="1"/>
    <col min="4365" max="4366" width="10.5703125" style="46" bestFit="1" customWidth="1"/>
    <col min="4367" max="4368" width="11.42578125" style="46" customWidth="1"/>
    <col min="4369" max="4369" width="6.140625" style="46" customWidth="1"/>
    <col min="4370" max="4380" width="11.42578125" style="46" customWidth="1"/>
    <col min="4381" max="4610" width="11.42578125" style="46"/>
    <col min="4611" max="4611" width="5.28515625" style="46" customWidth="1"/>
    <col min="4612" max="4612" width="15.28515625" style="46" customWidth="1"/>
    <col min="4613" max="4613" width="14.42578125" style="46" bestFit="1" customWidth="1"/>
    <col min="4614" max="4614" width="10.42578125" style="46" bestFit="1" customWidth="1"/>
    <col min="4615" max="4615" width="12.28515625" style="46" customWidth="1"/>
    <col min="4616" max="4620" width="11.42578125" style="46" customWidth="1"/>
    <col min="4621" max="4622" width="10.5703125" style="46" bestFit="1" customWidth="1"/>
    <col min="4623" max="4624" width="11.42578125" style="46" customWidth="1"/>
    <col min="4625" max="4625" width="6.140625" style="46" customWidth="1"/>
    <col min="4626" max="4636" width="11.42578125" style="46" customWidth="1"/>
    <col min="4637" max="4866" width="11.42578125" style="46"/>
    <col min="4867" max="4867" width="5.28515625" style="46" customWidth="1"/>
    <col min="4868" max="4868" width="15.28515625" style="46" customWidth="1"/>
    <col min="4869" max="4869" width="14.42578125" style="46" bestFit="1" customWidth="1"/>
    <col min="4870" max="4870" width="10.42578125" style="46" bestFit="1" customWidth="1"/>
    <col min="4871" max="4871" width="12.28515625" style="46" customWidth="1"/>
    <col min="4872" max="4876" width="11.42578125" style="46" customWidth="1"/>
    <col min="4877" max="4878" width="10.5703125" style="46" bestFit="1" customWidth="1"/>
    <col min="4879" max="4880" width="11.42578125" style="46" customWidth="1"/>
    <col min="4881" max="4881" width="6.140625" style="46" customWidth="1"/>
    <col min="4882" max="4892" width="11.42578125" style="46" customWidth="1"/>
    <col min="4893" max="5122" width="11.42578125" style="46"/>
    <col min="5123" max="5123" width="5.28515625" style="46" customWidth="1"/>
    <col min="5124" max="5124" width="15.28515625" style="46" customWidth="1"/>
    <col min="5125" max="5125" width="14.42578125" style="46" bestFit="1" customWidth="1"/>
    <col min="5126" max="5126" width="10.42578125" style="46" bestFit="1" customWidth="1"/>
    <col min="5127" max="5127" width="12.28515625" style="46" customWidth="1"/>
    <col min="5128" max="5132" width="11.42578125" style="46" customWidth="1"/>
    <col min="5133" max="5134" width="10.5703125" style="46" bestFit="1" customWidth="1"/>
    <col min="5135" max="5136" width="11.42578125" style="46" customWidth="1"/>
    <col min="5137" max="5137" width="6.140625" style="46" customWidth="1"/>
    <col min="5138" max="5148" width="11.42578125" style="46" customWidth="1"/>
    <col min="5149" max="5378" width="11.42578125" style="46"/>
    <col min="5379" max="5379" width="5.28515625" style="46" customWidth="1"/>
    <col min="5380" max="5380" width="15.28515625" style="46" customWidth="1"/>
    <col min="5381" max="5381" width="14.42578125" style="46" bestFit="1" customWidth="1"/>
    <col min="5382" max="5382" width="10.42578125" style="46" bestFit="1" customWidth="1"/>
    <col min="5383" max="5383" width="12.28515625" style="46" customWidth="1"/>
    <col min="5384" max="5388" width="11.42578125" style="46" customWidth="1"/>
    <col min="5389" max="5390" width="10.5703125" style="46" bestFit="1" customWidth="1"/>
    <col min="5391" max="5392" width="11.42578125" style="46" customWidth="1"/>
    <col min="5393" max="5393" width="6.140625" style="46" customWidth="1"/>
    <col min="5394" max="5404" width="11.42578125" style="46" customWidth="1"/>
    <col min="5405" max="5634" width="11.42578125" style="46"/>
    <col min="5635" max="5635" width="5.28515625" style="46" customWidth="1"/>
    <col min="5636" max="5636" width="15.28515625" style="46" customWidth="1"/>
    <col min="5637" max="5637" width="14.42578125" style="46" bestFit="1" customWidth="1"/>
    <col min="5638" max="5638" width="10.42578125" style="46" bestFit="1" customWidth="1"/>
    <col min="5639" max="5639" width="12.28515625" style="46" customWidth="1"/>
    <col min="5640" max="5644" width="11.42578125" style="46" customWidth="1"/>
    <col min="5645" max="5646" width="10.5703125" style="46" bestFit="1" customWidth="1"/>
    <col min="5647" max="5648" width="11.42578125" style="46" customWidth="1"/>
    <col min="5649" max="5649" width="6.140625" style="46" customWidth="1"/>
    <col min="5650" max="5660" width="11.42578125" style="46" customWidth="1"/>
    <col min="5661" max="5890" width="11.42578125" style="46"/>
    <col min="5891" max="5891" width="5.28515625" style="46" customWidth="1"/>
    <col min="5892" max="5892" width="15.28515625" style="46" customWidth="1"/>
    <col min="5893" max="5893" width="14.42578125" style="46" bestFit="1" customWidth="1"/>
    <col min="5894" max="5894" width="10.42578125" style="46" bestFit="1" customWidth="1"/>
    <col min="5895" max="5895" width="12.28515625" style="46" customWidth="1"/>
    <col min="5896" max="5900" width="11.42578125" style="46" customWidth="1"/>
    <col min="5901" max="5902" width="10.5703125" style="46" bestFit="1" customWidth="1"/>
    <col min="5903" max="5904" width="11.42578125" style="46" customWidth="1"/>
    <col min="5905" max="5905" width="6.140625" style="46" customWidth="1"/>
    <col min="5906" max="5916" width="11.42578125" style="46" customWidth="1"/>
    <col min="5917" max="6146" width="11.42578125" style="46"/>
    <col min="6147" max="6147" width="5.28515625" style="46" customWidth="1"/>
    <col min="6148" max="6148" width="15.28515625" style="46" customWidth="1"/>
    <col min="6149" max="6149" width="14.42578125" style="46" bestFit="1" customWidth="1"/>
    <col min="6150" max="6150" width="10.42578125" style="46" bestFit="1" customWidth="1"/>
    <col min="6151" max="6151" width="12.28515625" style="46" customWidth="1"/>
    <col min="6152" max="6156" width="11.42578125" style="46" customWidth="1"/>
    <col min="6157" max="6158" width="10.5703125" style="46" bestFit="1" customWidth="1"/>
    <col min="6159" max="6160" width="11.42578125" style="46" customWidth="1"/>
    <col min="6161" max="6161" width="6.140625" style="46" customWidth="1"/>
    <col min="6162" max="6172" width="11.42578125" style="46" customWidth="1"/>
    <col min="6173" max="6402" width="11.42578125" style="46"/>
    <col min="6403" max="6403" width="5.28515625" style="46" customWidth="1"/>
    <col min="6404" max="6404" width="15.28515625" style="46" customWidth="1"/>
    <col min="6405" max="6405" width="14.42578125" style="46" bestFit="1" customWidth="1"/>
    <col min="6406" max="6406" width="10.42578125" style="46" bestFit="1" customWidth="1"/>
    <col min="6407" max="6407" width="12.28515625" style="46" customWidth="1"/>
    <col min="6408" max="6412" width="11.42578125" style="46" customWidth="1"/>
    <col min="6413" max="6414" width="10.5703125" style="46" bestFit="1" customWidth="1"/>
    <col min="6415" max="6416" width="11.42578125" style="46" customWidth="1"/>
    <col min="6417" max="6417" width="6.140625" style="46" customWidth="1"/>
    <col min="6418" max="6428" width="11.42578125" style="46" customWidth="1"/>
    <col min="6429" max="6658" width="11.42578125" style="46"/>
    <col min="6659" max="6659" width="5.28515625" style="46" customWidth="1"/>
    <col min="6660" max="6660" width="15.28515625" style="46" customWidth="1"/>
    <col min="6661" max="6661" width="14.42578125" style="46" bestFit="1" customWidth="1"/>
    <col min="6662" max="6662" width="10.42578125" style="46" bestFit="1" customWidth="1"/>
    <col min="6663" max="6663" width="12.28515625" style="46" customWidth="1"/>
    <col min="6664" max="6668" width="11.42578125" style="46" customWidth="1"/>
    <col min="6669" max="6670" width="10.5703125" style="46" bestFit="1" customWidth="1"/>
    <col min="6671" max="6672" width="11.42578125" style="46" customWidth="1"/>
    <col min="6673" max="6673" width="6.140625" style="46" customWidth="1"/>
    <col min="6674" max="6684" width="11.42578125" style="46" customWidth="1"/>
    <col min="6685" max="6914" width="11.42578125" style="46"/>
    <col min="6915" max="6915" width="5.28515625" style="46" customWidth="1"/>
    <col min="6916" max="6916" width="15.28515625" style="46" customWidth="1"/>
    <col min="6917" max="6917" width="14.42578125" style="46" bestFit="1" customWidth="1"/>
    <col min="6918" max="6918" width="10.42578125" style="46" bestFit="1" customWidth="1"/>
    <col min="6919" max="6919" width="12.28515625" style="46" customWidth="1"/>
    <col min="6920" max="6924" width="11.42578125" style="46" customWidth="1"/>
    <col min="6925" max="6926" width="10.5703125" style="46" bestFit="1" customWidth="1"/>
    <col min="6927" max="6928" width="11.42578125" style="46" customWidth="1"/>
    <col min="6929" max="6929" width="6.140625" style="46" customWidth="1"/>
    <col min="6930" max="6940" width="11.42578125" style="46" customWidth="1"/>
    <col min="6941" max="7170" width="11.42578125" style="46"/>
    <col min="7171" max="7171" width="5.28515625" style="46" customWidth="1"/>
    <col min="7172" max="7172" width="15.28515625" style="46" customWidth="1"/>
    <col min="7173" max="7173" width="14.42578125" style="46" bestFit="1" customWidth="1"/>
    <col min="7174" max="7174" width="10.42578125" style="46" bestFit="1" customWidth="1"/>
    <col min="7175" max="7175" width="12.28515625" style="46" customWidth="1"/>
    <col min="7176" max="7180" width="11.42578125" style="46" customWidth="1"/>
    <col min="7181" max="7182" width="10.5703125" style="46" bestFit="1" customWidth="1"/>
    <col min="7183" max="7184" width="11.42578125" style="46" customWidth="1"/>
    <col min="7185" max="7185" width="6.140625" style="46" customWidth="1"/>
    <col min="7186" max="7196" width="11.42578125" style="46" customWidth="1"/>
    <col min="7197" max="7426" width="11.42578125" style="46"/>
    <col min="7427" max="7427" width="5.28515625" style="46" customWidth="1"/>
    <col min="7428" max="7428" width="15.28515625" style="46" customWidth="1"/>
    <col min="7429" max="7429" width="14.42578125" style="46" bestFit="1" customWidth="1"/>
    <col min="7430" max="7430" width="10.42578125" style="46" bestFit="1" customWidth="1"/>
    <col min="7431" max="7431" width="12.28515625" style="46" customWidth="1"/>
    <col min="7432" max="7436" width="11.42578125" style="46" customWidth="1"/>
    <col min="7437" max="7438" width="10.5703125" style="46" bestFit="1" customWidth="1"/>
    <col min="7439" max="7440" width="11.42578125" style="46" customWidth="1"/>
    <col min="7441" max="7441" width="6.140625" style="46" customWidth="1"/>
    <col min="7442" max="7452" width="11.42578125" style="46" customWidth="1"/>
    <col min="7453" max="7682" width="11.42578125" style="46"/>
    <col min="7683" max="7683" width="5.28515625" style="46" customWidth="1"/>
    <col min="7684" max="7684" width="15.28515625" style="46" customWidth="1"/>
    <col min="7685" max="7685" width="14.42578125" style="46" bestFit="1" customWidth="1"/>
    <col min="7686" max="7686" width="10.42578125" style="46" bestFit="1" customWidth="1"/>
    <col min="7687" max="7687" width="12.28515625" style="46" customWidth="1"/>
    <col min="7688" max="7692" width="11.42578125" style="46" customWidth="1"/>
    <col min="7693" max="7694" width="10.5703125" style="46" bestFit="1" customWidth="1"/>
    <col min="7695" max="7696" width="11.42578125" style="46" customWidth="1"/>
    <col min="7697" max="7697" width="6.140625" style="46" customWidth="1"/>
    <col min="7698" max="7708" width="11.42578125" style="46" customWidth="1"/>
    <col min="7709" max="7938" width="11.42578125" style="46"/>
    <col min="7939" max="7939" width="5.28515625" style="46" customWidth="1"/>
    <col min="7940" max="7940" width="15.28515625" style="46" customWidth="1"/>
    <col min="7941" max="7941" width="14.42578125" style="46" bestFit="1" customWidth="1"/>
    <col min="7942" max="7942" width="10.42578125" style="46" bestFit="1" customWidth="1"/>
    <col min="7943" max="7943" width="12.28515625" style="46" customWidth="1"/>
    <col min="7944" max="7948" width="11.42578125" style="46" customWidth="1"/>
    <col min="7949" max="7950" width="10.5703125" style="46" bestFit="1" customWidth="1"/>
    <col min="7951" max="7952" width="11.42578125" style="46" customWidth="1"/>
    <col min="7953" max="7953" width="6.140625" style="46" customWidth="1"/>
    <col min="7954" max="7964" width="11.42578125" style="46" customWidth="1"/>
    <col min="7965" max="8194" width="11.42578125" style="46"/>
    <col min="8195" max="8195" width="5.28515625" style="46" customWidth="1"/>
    <col min="8196" max="8196" width="15.28515625" style="46" customWidth="1"/>
    <col min="8197" max="8197" width="14.42578125" style="46" bestFit="1" customWidth="1"/>
    <col min="8198" max="8198" width="10.42578125" style="46" bestFit="1" customWidth="1"/>
    <col min="8199" max="8199" width="12.28515625" style="46" customWidth="1"/>
    <col min="8200" max="8204" width="11.42578125" style="46" customWidth="1"/>
    <col min="8205" max="8206" width="10.5703125" style="46" bestFit="1" customWidth="1"/>
    <col min="8207" max="8208" width="11.42578125" style="46" customWidth="1"/>
    <col min="8209" max="8209" width="6.140625" style="46" customWidth="1"/>
    <col min="8210" max="8220" width="11.42578125" style="46" customWidth="1"/>
    <col min="8221" max="8450" width="11.42578125" style="46"/>
    <col min="8451" max="8451" width="5.28515625" style="46" customWidth="1"/>
    <col min="8452" max="8452" width="15.28515625" style="46" customWidth="1"/>
    <col min="8453" max="8453" width="14.42578125" style="46" bestFit="1" customWidth="1"/>
    <col min="8454" max="8454" width="10.42578125" style="46" bestFit="1" customWidth="1"/>
    <col min="8455" max="8455" width="12.28515625" style="46" customWidth="1"/>
    <col min="8456" max="8460" width="11.42578125" style="46" customWidth="1"/>
    <col min="8461" max="8462" width="10.5703125" style="46" bestFit="1" customWidth="1"/>
    <col min="8463" max="8464" width="11.42578125" style="46" customWidth="1"/>
    <col min="8465" max="8465" width="6.140625" style="46" customWidth="1"/>
    <col min="8466" max="8476" width="11.42578125" style="46" customWidth="1"/>
    <col min="8477" max="8706" width="11.42578125" style="46"/>
    <col min="8707" max="8707" width="5.28515625" style="46" customWidth="1"/>
    <col min="8708" max="8708" width="15.28515625" style="46" customWidth="1"/>
    <col min="8709" max="8709" width="14.42578125" style="46" bestFit="1" customWidth="1"/>
    <col min="8710" max="8710" width="10.42578125" style="46" bestFit="1" customWidth="1"/>
    <col min="8711" max="8711" width="12.28515625" style="46" customWidth="1"/>
    <col min="8712" max="8716" width="11.42578125" style="46" customWidth="1"/>
    <col min="8717" max="8718" width="10.5703125" style="46" bestFit="1" customWidth="1"/>
    <col min="8719" max="8720" width="11.42578125" style="46" customWidth="1"/>
    <col min="8721" max="8721" width="6.140625" style="46" customWidth="1"/>
    <col min="8722" max="8732" width="11.42578125" style="46" customWidth="1"/>
    <col min="8733" max="8962" width="11.42578125" style="46"/>
    <col min="8963" max="8963" width="5.28515625" style="46" customWidth="1"/>
    <col min="8964" max="8964" width="15.28515625" style="46" customWidth="1"/>
    <col min="8965" max="8965" width="14.42578125" style="46" bestFit="1" customWidth="1"/>
    <col min="8966" max="8966" width="10.42578125" style="46" bestFit="1" customWidth="1"/>
    <col min="8967" max="8967" width="12.28515625" style="46" customWidth="1"/>
    <col min="8968" max="8972" width="11.42578125" style="46" customWidth="1"/>
    <col min="8973" max="8974" width="10.5703125" style="46" bestFit="1" customWidth="1"/>
    <col min="8975" max="8976" width="11.42578125" style="46" customWidth="1"/>
    <col min="8977" max="8977" width="6.140625" style="46" customWidth="1"/>
    <col min="8978" max="8988" width="11.42578125" style="46" customWidth="1"/>
    <col min="8989" max="9218" width="11.42578125" style="46"/>
    <col min="9219" max="9219" width="5.28515625" style="46" customWidth="1"/>
    <col min="9220" max="9220" width="15.28515625" style="46" customWidth="1"/>
    <col min="9221" max="9221" width="14.42578125" style="46" bestFit="1" customWidth="1"/>
    <col min="9222" max="9222" width="10.42578125" style="46" bestFit="1" customWidth="1"/>
    <col min="9223" max="9223" width="12.28515625" style="46" customWidth="1"/>
    <col min="9224" max="9228" width="11.42578125" style="46" customWidth="1"/>
    <col min="9229" max="9230" width="10.5703125" style="46" bestFit="1" customWidth="1"/>
    <col min="9231" max="9232" width="11.42578125" style="46" customWidth="1"/>
    <col min="9233" max="9233" width="6.140625" style="46" customWidth="1"/>
    <col min="9234" max="9244" width="11.42578125" style="46" customWidth="1"/>
    <col min="9245" max="9474" width="11.42578125" style="46"/>
    <col min="9475" max="9475" width="5.28515625" style="46" customWidth="1"/>
    <col min="9476" max="9476" width="15.28515625" style="46" customWidth="1"/>
    <col min="9477" max="9477" width="14.42578125" style="46" bestFit="1" customWidth="1"/>
    <col min="9478" max="9478" width="10.42578125" style="46" bestFit="1" customWidth="1"/>
    <col min="9479" max="9479" width="12.28515625" style="46" customWidth="1"/>
    <col min="9480" max="9484" width="11.42578125" style="46" customWidth="1"/>
    <col min="9485" max="9486" width="10.5703125" style="46" bestFit="1" customWidth="1"/>
    <col min="9487" max="9488" width="11.42578125" style="46" customWidth="1"/>
    <col min="9489" max="9489" width="6.140625" style="46" customWidth="1"/>
    <col min="9490" max="9500" width="11.42578125" style="46" customWidth="1"/>
    <col min="9501" max="9730" width="11.42578125" style="46"/>
    <col min="9731" max="9731" width="5.28515625" style="46" customWidth="1"/>
    <col min="9732" max="9732" width="15.28515625" style="46" customWidth="1"/>
    <col min="9733" max="9733" width="14.42578125" style="46" bestFit="1" customWidth="1"/>
    <col min="9734" max="9734" width="10.42578125" style="46" bestFit="1" customWidth="1"/>
    <col min="9735" max="9735" width="12.28515625" style="46" customWidth="1"/>
    <col min="9736" max="9740" width="11.42578125" style="46" customWidth="1"/>
    <col min="9741" max="9742" width="10.5703125" style="46" bestFit="1" customWidth="1"/>
    <col min="9743" max="9744" width="11.42578125" style="46" customWidth="1"/>
    <col min="9745" max="9745" width="6.140625" style="46" customWidth="1"/>
    <col min="9746" max="9756" width="11.42578125" style="46" customWidth="1"/>
    <col min="9757" max="9986" width="11.42578125" style="46"/>
    <col min="9987" max="9987" width="5.28515625" style="46" customWidth="1"/>
    <col min="9988" max="9988" width="15.28515625" style="46" customWidth="1"/>
    <col min="9989" max="9989" width="14.42578125" style="46" bestFit="1" customWidth="1"/>
    <col min="9990" max="9990" width="10.42578125" style="46" bestFit="1" customWidth="1"/>
    <col min="9991" max="9991" width="12.28515625" style="46" customWidth="1"/>
    <col min="9992" max="9996" width="11.42578125" style="46" customWidth="1"/>
    <col min="9997" max="9998" width="10.5703125" style="46" bestFit="1" customWidth="1"/>
    <col min="9999" max="10000" width="11.42578125" style="46" customWidth="1"/>
    <col min="10001" max="10001" width="6.140625" style="46" customWidth="1"/>
    <col min="10002" max="10012" width="11.42578125" style="46" customWidth="1"/>
    <col min="10013" max="10242" width="11.42578125" style="46"/>
    <col min="10243" max="10243" width="5.28515625" style="46" customWidth="1"/>
    <col min="10244" max="10244" width="15.28515625" style="46" customWidth="1"/>
    <col min="10245" max="10245" width="14.42578125" style="46" bestFit="1" customWidth="1"/>
    <col min="10246" max="10246" width="10.42578125" style="46" bestFit="1" customWidth="1"/>
    <col min="10247" max="10247" width="12.28515625" style="46" customWidth="1"/>
    <col min="10248" max="10252" width="11.42578125" style="46" customWidth="1"/>
    <col min="10253" max="10254" width="10.5703125" style="46" bestFit="1" customWidth="1"/>
    <col min="10255" max="10256" width="11.42578125" style="46" customWidth="1"/>
    <col min="10257" max="10257" width="6.140625" style="46" customWidth="1"/>
    <col min="10258" max="10268" width="11.42578125" style="46" customWidth="1"/>
    <col min="10269" max="10498" width="11.42578125" style="46"/>
    <col min="10499" max="10499" width="5.28515625" style="46" customWidth="1"/>
    <col min="10500" max="10500" width="15.28515625" style="46" customWidth="1"/>
    <col min="10501" max="10501" width="14.42578125" style="46" bestFit="1" customWidth="1"/>
    <col min="10502" max="10502" width="10.42578125" style="46" bestFit="1" customWidth="1"/>
    <col min="10503" max="10503" width="12.28515625" style="46" customWidth="1"/>
    <col min="10504" max="10508" width="11.42578125" style="46" customWidth="1"/>
    <col min="10509" max="10510" width="10.5703125" style="46" bestFit="1" customWidth="1"/>
    <col min="10511" max="10512" width="11.42578125" style="46" customWidth="1"/>
    <col min="10513" max="10513" width="6.140625" style="46" customWidth="1"/>
    <col min="10514" max="10524" width="11.42578125" style="46" customWidth="1"/>
    <col min="10525" max="10754" width="11.42578125" style="46"/>
    <col min="10755" max="10755" width="5.28515625" style="46" customWidth="1"/>
    <col min="10756" max="10756" width="15.28515625" style="46" customWidth="1"/>
    <col min="10757" max="10757" width="14.42578125" style="46" bestFit="1" customWidth="1"/>
    <col min="10758" max="10758" width="10.42578125" style="46" bestFit="1" customWidth="1"/>
    <col min="10759" max="10759" width="12.28515625" style="46" customWidth="1"/>
    <col min="10760" max="10764" width="11.42578125" style="46" customWidth="1"/>
    <col min="10765" max="10766" width="10.5703125" style="46" bestFit="1" customWidth="1"/>
    <col min="10767" max="10768" width="11.42578125" style="46" customWidth="1"/>
    <col min="10769" max="10769" width="6.140625" style="46" customWidth="1"/>
    <col min="10770" max="10780" width="11.42578125" style="46" customWidth="1"/>
    <col min="10781" max="11010" width="11.42578125" style="46"/>
    <col min="11011" max="11011" width="5.28515625" style="46" customWidth="1"/>
    <col min="11012" max="11012" width="15.28515625" style="46" customWidth="1"/>
    <col min="11013" max="11013" width="14.42578125" style="46" bestFit="1" customWidth="1"/>
    <col min="11014" max="11014" width="10.42578125" style="46" bestFit="1" customWidth="1"/>
    <col min="11015" max="11015" width="12.28515625" style="46" customWidth="1"/>
    <col min="11016" max="11020" width="11.42578125" style="46" customWidth="1"/>
    <col min="11021" max="11022" width="10.5703125" style="46" bestFit="1" customWidth="1"/>
    <col min="11023" max="11024" width="11.42578125" style="46" customWidth="1"/>
    <col min="11025" max="11025" width="6.140625" style="46" customWidth="1"/>
    <col min="11026" max="11036" width="11.42578125" style="46" customWidth="1"/>
    <col min="11037" max="11266" width="11.42578125" style="46"/>
    <col min="11267" max="11267" width="5.28515625" style="46" customWidth="1"/>
    <col min="11268" max="11268" width="15.28515625" style="46" customWidth="1"/>
    <col min="11269" max="11269" width="14.42578125" style="46" bestFit="1" customWidth="1"/>
    <col min="11270" max="11270" width="10.42578125" style="46" bestFit="1" customWidth="1"/>
    <col min="11271" max="11271" width="12.28515625" style="46" customWidth="1"/>
    <col min="11272" max="11276" width="11.42578125" style="46" customWidth="1"/>
    <col min="11277" max="11278" width="10.5703125" style="46" bestFit="1" customWidth="1"/>
    <col min="11279" max="11280" width="11.42578125" style="46" customWidth="1"/>
    <col min="11281" max="11281" width="6.140625" style="46" customWidth="1"/>
    <col min="11282" max="11292" width="11.42578125" style="46" customWidth="1"/>
    <col min="11293" max="11522" width="11.42578125" style="46"/>
    <col min="11523" max="11523" width="5.28515625" style="46" customWidth="1"/>
    <col min="11524" max="11524" width="15.28515625" style="46" customWidth="1"/>
    <col min="11525" max="11525" width="14.42578125" style="46" bestFit="1" customWidth="1"/>
    <col min="11526" max="11526" width="10.42578125" style="46" bestFit="1" customWidth="1"/>
    <col min="11527" max="11527" width="12.28515625" style="46" customWidth="1"/>
    <col min="11528" max="11532" width="11.42578125" style="46" customWidth="1"/>
    <col min="11533" max="11534" width="10.5703125" style="46" bestFit="1" customWidth="1"/>
    <col min="11535" max="11536" width="11.42578125" style="46" customWidth="1"/>
    <col min="11537" max="11537" width="6.140625" style="46" customWidth="1"/>
    <col min="11538" max="11548" width="11.42578125" style="46" customWidth="1"/>
    <col min="11549" max="11778" width="11.42578125" style="46"/>
    <col min="11779" max="11779" width="5.28515625" style="46" customWidth="1"/>
    <col min="11780" max="11780" width="15.28515625" style="46" customWidth="1"/>
    <col min="11781" max="11781" width="14.42578125" style="46" bestFit="1" customWidth="1"/>
    <col min="11782" max="11782" width="10.42578125" style="46" bestFit="1" customWidth="1"/>
    <col min="11783" max="11783" width="12.28515625" style="46" customWidth="1"/>
    <col min="11784" max="11788" width="11.42578125" style="46" customWidth="1"/>
    <col min="11789" max="11790" width="10.5703125" style="46" bestFit="1" customWidth="1"/>
    <col min="11791" max="11792" width="11.42578125" style="46" customWidth="1"/>
    <col min="11793" max="11793" width="6.140625" style="46" customWidth="1"/>
    <col min="11794" max="11804" width="11.42578125" style="46" customWidth="1"/>
    <col min="11805" max="12034" width="11.42578125" style="46"/>
    <col min="12035" max="12035" width="5.28515625" style="46" customWidth="1"/>
    <col min="12036" max="12036" width="15.28515625" style="46" customWidth="1"/>
    <col min="12037" max="12037" width="14.42578125" style="46" bestFit="1" customWidth="1"/>
    <col min="12038" max="12038" width="10.42578125" style="46" bestFit="1" customWidth="1"/>
    <col min="12039" max="12039" width="12.28515625" style="46" customWidth="1"/>
    <col min="12040" max="12044" width="11.42578125" style="46" customWidth="1"/>
    <col min="12045" max="12046" width="10.5703125" style="46" bestFit="1" customWidth="1"/>
    <col min="12047" max="12048" width="11.42578125" style="46" customWidth="1"/>
    <col min="12049" max="12049" width="6.140625" style="46" customWidth="1"/>
    <col min="12050" max="12060" width="11.42578125" style="46" customWidth="1"/>
    <col min="12061" max="12290" width="11.42578125" style="46"/>
    <col min="12291" max="12291" width="5.28515625" style="46" customWidth="1"/>
    <col min="12292" max="12292" width="15.28515625" style="46" customWidth="1"/>
    <col min="12293" max="12293" width="14.42578125" style="46" bestFit="1" customWidth="1"/>
    <col min="12294" max="12294" width="10.42578125" style="46" bestFit="1" customWidth="1"/>
    <col min="12295" max="12295" width="12.28515625" style="46" customWidth="1"/>
    <col min="12296" max="12300" width="11.42578125" style="46" customWidth="1"/>
    <col min="12301" max="12302" width="10.5703125" style="46" bestFit="1" customWidth="1"/>
    <col min="12303" max="12304" width="11.42578125" style="46" customWidth="1"/>
    <col min="12305" max="12305" width="6.140625" style="46" customWidth="1"/>
    <col min="12306" max="12316" width="11.42578125" style="46" customWidth="1"/>
    <col min="12317" max="12546" width="11.42578125" style="46"/>
    <col min="12547" max="12547" width="5.28515625" style="46" customWidth="1"/>
    <col min="12548" max="12548" width="15.28515625" style="46" customWidth="1"/>
    <col min="12549" max="12549" width="14.42578125" style="46" bestFit="1" customWidth="1"/>
    <col min="12550" max="12550" width="10.42578125" style="46" bestFit="1" customWidth="1"/>
    <col min="12551" max="12551" width="12.28515625" style="46" customWidth="1"/>
    <col min="12552" max="12556" width="11.42578125" style="46" customWidth="1"/>
    <col min="12557" max="12558" width="10.5703125" style="46" bestFit="1" customWidth="1"/>
    <col min="12559" max="12560" width="11.42578125" style="46" customWidth="1"/>
    <col min="12561" max="12561" width="6.140625" style="46" customWidth="1"/>
    <col min="12562" max="12572" width="11.42578125" style="46" customWidth="1"/>
    <col min="12573" max="12802" width="11.42578125" style="46"/>
    <col min="12803" max="12803" width="5.28515625" style="46" customWidth="1"/>
    <col min="12804" max="12804" width="15.28515625" style="46" customWidth="1"/>
    <col min="12805" max="12805" width="14.42578125" style="46" bestFit="1" customWidth="1"/>
    <col min="12806" max="12806" width="10.42578125" style="46" bestFit="1" customWidth="1"/>
    <col min="12807" max="12807" width="12.28515625" style="46" customWidth="1"/>
    <col min="12808" max="12812" width="11.42578125" style="46" customWidth="1"/>
    <col min="12813" max="12814" width="10.5703125" style="46" bestFit="1" customWidth="1"/>
    <col min="12815" max="12816" width="11.42578125" style="46" customWidth="1"/>
    <col min="12817" max="12817" width="6.140625" style="46" customWidth="1"/>
    <col min="12818" max="12828" width="11.42578125" style="46" customWidth="1"/>
    <col min="12829" max="13058" width="11.42578125" style="46"/>
    <col min="13059" max="13059" width="5.28515625" style="46" customWidth="1"/>
    <col min="13060" max="13060" width="15.28515625" style="46" customWidth="1"/>
    <col min="13061" max="13061" width="14.42578125" style="46" bestFit="1" customWidth="1"/>
    <col min="13062" max="13062" width="10.42578125" style="46" bestFit="1" customWidth="1"/>
    <col min="13063" max="13063" width="12.28515625" style="46" customWidth="1"/>
    <col min="13064" max="13068" width="11.42578125" style="46" customWidth="1"/>
    <col min="13069" max="13070" width="10.5703125" style="46" bestFit="1" customWidth="1"/>
    <col min="13071" max="13072" width="11.42578125" style="46" customWidth="1"/>
    <col min="13073" max="13073" width="6.140625" style="46" customWidth="1"/>
    <col min="13074" max="13084" width="11.42578125" style="46" customWidth="1"/>
    <col min="13085" max="13314" width="11.42578125" style="46"/>
    <col min="13315" max="13315" width="5.28515625" style="46" customWidth="1"/>
    <col min="13316" max="13316" width="15.28515625" style="46" customWidth="1"/>
    <col min="13317" max="13317" width="14.42578125" style="46" bestFit="1" customWidth="1"/>
    <col min="13318" max="13318" width="10.42578125" style="46" bestFit="1" customWidth="1"/>
    <col min="13319" max="13319" width="12.28515625" style="46" customWidth="1"/>
    <col min="13320" max="13324" width="11.42578125" style="46" customWidth="1"/>
    <col min="13325" max="13326" width="10.5703125" style="46" bestFit="1" customWidth="1"/>
    <col min="13327" max="13328" width="11.42578125" style="46" customWidth="1"/>
    <col min="13329" max="13329" width="6.140625" style="46" customWidth="1"/>
    <col min="13330" max="13340" width="11.42578125" style="46" customWidth="1"/>
    <col min="13341" max="13570" width="11.42578125" style="46"/>
    <col min="13571" max="13571" width="5.28515625" style="46" customWidth="1"/>
    <col min="13572" max="13572" width="15.28515625" style="46" customWidth="1"/>
    <col min="13573" max="13573" width="14.42578125" style="46" bestFit="1" customWidth="1"/>
    <col min="13574" max="13574" width="10.42578125" style="46" bestFit="1" customWidth="1"/>
    <col min="13575" max="13575" width="12.28515625" style="46" customWidth="1"/>
    <col min="13576" max="13580" width="11.42578125" style="46" customWidth="1"/>
    <col min="13581" max="13582" width="10.5703125" style="46" bestFit="1" customWidth="1"/>
    <col min="13583" max="13584" width="11.42578125" style="46" customWidth="1"/>
    <col min="13585" max="13585" width="6.140625" style="46" customWidth="1"/>
    <col min="13586" max="13596" width="11.42578125" style="46" customWidth="1"/>
    <col min="13597" max="13826" width="11.42578125" style="46"/>
    <col min="13827" max="13827" width="5.28515625" style="46" customWidth="1"/>
    <col min="13828" max="13828" width="15.28515625" style="46" customWidth="1"/>
    <col min="13829" max="13829" width="14.42578125" style="46" bestFit="1" customWidth="1"/>
    <col min="13830" max="13830" width="10.42578125" style="46" bestFit="1" customWidth="1"/>
    <col min="13831" max="13831" width="12.28515625" style="46" customWidth="1"/>
    <col min="13832" max="13836" width="11.42578125" style="46" customWidth="1"/>
    <col min="13837" max="13838" width="10.5703125" style="46" bestFit="1" customWidth="1"/>
    <col min="13839" max="13840" width="11.42578125" style="46" customWidth="1"/>
    <col min="13841" max="13841" width="6.140625" style="46" customWidth="1"/>
    <col min="13842" max="13852" width="11.42578125" style="46" customWidth="1"/>
    <col min="13853" max="14082" width="11.42578125" style="46"/>
    <col min="14083" max="14083" width="5.28515625" style="46" customWidth="1"/>
    <col min="14084" max="14084" width="15.28515625" style="46" customWidth="1"/>
    <col min="14085" max="14085" width="14.42578125" style="46" bestFit="1" customWidth="1"/>
    <col min="14086" max="14086" width="10.42578125" style="46" bestFit="1" customWidth="1"/>
    <col min="14087" max="14087" width="12.28515625" style="46" customWidth="1"/>
    <col min="14088" max="14092" width="11.42578125" style="46" customWidth="1"/>
    <col min="14093" max="14094" width="10.5703125" style="46" bestFit="1" customWidth="1"/>
    <col min="14095" max="14096" width="11.42578125" style="46" customWidth="1"/>
    <col min="14097" max="14097" width="6.140625" style="46" customWidth="1"/>
    <col min="14098" max="14108" width="11.42578125" style="46" customWidth="1"/>
    <col min="14109" max="14338" width="11.42578125" style="46"/>
    <col min="14339" max="14339" width="5.28515625" style="46" customWidth="1"/>
    <col min="14340" max="14340" width="15.28515625" style="46" customWidth="1"/>
    <col min="14341" max="14341" width="14.42578125" style="46" bestFit="1" customWidth="1"/>
    <col min="14342" max="14342" width="10.42578125" style="46" bestFit="1" customWidth="1"/>
    <col min="14343" max="14343" width="12.28515625" style="46" customWidth="1"/>
    <col min="14344" max="14348" width="11.42578125" style="46" customWidth="1"/>
    <col min="14349" max="14350" width="10.5703125" style="46" bestFit="1" customWidth="1"/>
    <col min="14351" max="14352" width="11.42578125" style="46" customWidth="1"/>
    <col min="14353" max="14353" width="6.140625" style="46" customWidth="1"/>
    <col min="14354" max="14364" width="11.42578125" style="46" customWidth="1"/>
    <col min="14365" max="14594" width="11.42578125" style="46"/>
    <col min="14595" max="14595" width="5.28515625" style="46" customWidth="1"/>
    <col min="14596" max="14596" width="15.28515625" style="46" customWidth="1"/>
    <col min="14597" max="14597" width="14.42578125" style="46" bestFit="1" customWidth="1"/>
    <col min="14598" max="14598" width="10.42578125" style="46" bestFit="1" customWidth="1"/>
    <col min="14599" max="14599" width="12.28515625" style="46" customWidth="1"/>
    <col min="14600" max="14604" width="11.42578125" style="46" customWidth="1"/>
    <col min="14605" max="14606" width="10.5703125" style="46" bestFit="1" customWidth="1"/>
    <col min="14607" max="14608" width="11.42578125" style="46" customWidth="1"/>
    <col min="14609" max="14609" width="6.140625" style="46" customWidth="1"/>
    <col min="14610" max="14620" width="11.42578125" style="46" customWidth="1"/>
    <col min="14621" max="14850" width="11.42578125" style="46"/>
    <col min="14851" max="14851" width="5.28515625" style="46" customWidth="1"/>
    <col min="14852" max="14852" width="15.28515625" style="46" customWidth="1"/>
    <col min="14853" max="14853" width="14.42578125" style="46" bestFit="1" customWidth="1"/>
    <col min="14854" max="14854" width="10.42578125" style="46" bestFit="1" customWidth="1"/>
    <col min="14855" max="14855" width="12.28515625" style="46" customWidth="1"/>
    <col min="14856" max="14860" width="11.42578125" style="46" customWidth="1"/>
    <col min="14861" max="14862" width="10.5703125" style="46" bestFit="1" customWidth="1"/>
    <col min="14863" max="14864" width="11.42578125" style="46" customWidth="1"/>
    <col min="14865" max="14865" width="6.140625" style="46" customWidth="1"/>
    <col min="14866" max="14876" width="11.42578125" style="46" customWidth="1"/>
    <col min="14877" max="15106" width="11.42578125" style="46"/>
    <col min="15107" max="15107" width="5.28515625" style="46" customWidth="1"/>
    <col min="15108" max="15108" width="15.28515625" style="46" customWidth="1"/>
    <col min="15109" max="15109" width="14.42578125" style="46" bestFit="1" customWidth="1"/>
    <col min="15110" max="15110" width="10.42578125" style="46" bestFit="1" customWidth="1"/>
    <col min="15111" max="15111" width="12.28515625" style="46" customWidth="1"/>
    <col min="15112" max="15116" width="11.42578125" style="46" customWidth="1"/>
    <col min="15117" max="15118" width="10.5703125" style="46" bestFit="1" customWidth="1"/>
    <col min="15119" max="15120" width="11.42578125" style="46" customWidth="1"/>
    <col min="15121" max="15121" width="6.140625" style="46" customWidth="1"/>
    <col min="15122" max="15132" width="11.42578125" style="46" customWidth="1"/>
    <col min="15133" max="15362" width="11.42578125" style="46"/>
    <col min="15363" max="15363" width="5.28515625" style="46" customWidth="1"/>
    <col min="15364" max="15364" width="15.28515625" style="46" customWidth="1"/>
    <col min="15365" max="15365" width="14.42578125" style="46" bestFit="1" customWidth="1"/>
    <col min="15366" max="15366" width="10.42578125" style="46" bestFit="1" customWidth="1"/>
    <col min="15367" max="15367" width="12.28515625" style="46" customWidth="1"/>
    <col min="15368" max="15372" width="11.42578125" style="46" customWidth="1"/>
    <col min="15373" max="15374" width="10.5703125" style="46" bestFit="1" customWidth="1"/>
    <col min="15375" max="15376" width="11.42578125" style="46" customWidth="1"/>
    <col min="15377" max="15377" width="6.140625" style="46" customWidth="1"/>
    <col min="15378" max="15388" width="11.42578125" style="46" customWidth="1"/>
    <col min="15389" max="15618" width="11.42578125" style="46"/>
    <col min="15619" max="15619" width="5.28515625" style="46" customWidth="1"/>
    <col min="15620" max="15620" width="15.28515625" style="46" customWidth="1"/>
    <col min="15621" max="15621" width="14.42578125" style="46" bestFit="1" customWidth="1"/>
    <col min="15622" max="15622" width="10.42578125" style="46" bestFit="1" customWidth="1"/>
    <col min="15623" max="15623" width="12.28515625" style="46" customWidth="1"/>
    <col min="15624" max="15628" width="11.42578125" style="46" customWidth="1"/>
    <col min="15629" max="15630" width="10.5703125" style="46" bestFit="1" customWidth="1"/>
    <col min="15631" max="15632" width="11.42578125" style="46" customWidth="1"/>
    <col min="15633" max="15633" width="6.140625" style="46" customWidth="1"/>
    <col min="15634" max="15644" width="11.42578125" style="46" customWidth="1"/>
    <col min="15645" max="15874" width="11.42578125" style="46"/>
    <col min="15875" max="15875" width="5.28515625" style="46" customWidth="1"/>
    <col min="15876" max="15876" width="15.28515625" style="46" customWidth="1"/>
    <col min="15877" max="15877" width="14.42578125" style="46" bestFit="1" customWidth="1"/>
    <col min="15878" max="15878" width="10.42578125" style="46" bestFit="1" customWidth="1"/>
    <col min="15879" max="15879" width="12.28515625" style="46" customWidth="1"/>
    <col min="15880" max="15884" width="11.42578125" style="46" customWidth="1"/>
    <col min="15885" max="15886" width="10.5703125" style="46" bestFit="1" customWidth="1"/>
    <col min="15887" max="15888" width="11.42578125" style="46" customWidth="1"/>
    <col min="15889" max="15889" width="6.140625" style="46" customWidth="1"/>
    <col min="15890" max="15900" width="11.42578125" style="46" customWidth="1"/>
    <col min="15901" max="16130" width="11.42578125" style="46"/>
    <col min="16131" max="16131" width="5.28515625" style="46" customWidth="1"/>
    <col min="16132" max="16132" width="15.28515625" style="46" customWidth="1"/>
    <col min="16133" max="16133" width="14.42578125" style="46" bestFit="1" customWidth="1"/>
    <col min="16134" max="16134" width="10.42578125" style="46" bestFit="1" customWidth="1"/>
    <col min="16135" max="16135" width="12.28515625" style="46" customWidth="1"/>
    <col min="16136" max="16140" width="11.42578125" style="46" customWidth="1"/>
    <col min="16141" max="16142" width="10.5703125" style="46" bestFit="1" customWidth="1"/>
    <col min="16143" max="16144" width="11.42578125" style="46" customWidth="1"/>
    <col min="16145" max="16145" width="6.140625" style="46" customWidth="1"/>
    <col min="16146" max="16156" width="11.42578125" style="46" customWidth="1"/>
    <col min="16157" max="16384" width="11.42578125" style="46"/>
  </cols>
  <sheetData>
    <row r="1" spans="2:61" s="102" customFormat="1" ht="15.75" thickBot="1" x14ac:dyDescent="0.3">
      <c r="C1" s="47"/>
      <c r="Q1" s="47"/>
      <c r="R1" s="47"/>
      <c r="S1" s="47"/>
      <c r="T1" s="47"/>
      <c r="U1" s="47"/>
      <c r="V1" s="47"/>
      <c r="W1" s="47"/>
      <c r="X1" s="47"/>
      <c r="Y1" s="47"/>
      <c r="Z1" s="47"/>
      <c r="AA1" s="47"/>
      <c r="AB1" s="47"/>
    </row>
    <row r="2" spans="2:61" s="102" customFormat="1" ht="6.75" customHeight="1" x14ac:dyDescent="0.25">
      <c r="B2" s="585"/>
      <c r="C2" s="586"/>
      <c r="D2" s="586"/>
      <c r="E2" s="586"/>
      <c r="F2" s="586"/>
      <c r="G2" s="586"/>
      <c r="H2" s="586"/>
      <c r="I2" s="586"/>
      <c r="J2" s="586"/>
      <c r="K2" s="586"/>
      <c r="L2" s="586"/>
      <c r="M2" s="586"/>
      <c r="N2" s="586"/>
      <c r="O2" s="586"/>
      <c r="P2" s="586"/>
      <c r="Q2" s="586"/>
      <c r="R2" s="586"/>
      <c r="S2" s="586"/>
      <c r="T2" s="587"/>
      <c r="U2" s="47"/>
      <c r="V2" s="47"/>
      <c r="W2" s="47"/>
      <c r="X2" s="47"/>
      <c r="Y2" s="47"/>
      <c r="Z2" s="47"/>
      <c r="AA2" s="47"/>
      <c r="AB2" s="47"/>
    </row>
    <row r="3" spans="2:61" s="1" customFormat="1" ht="36" x14ac:dyDescent="0.35">
      <c r="B3" s="545"/>
      <c r="C3" s="541"/>
      <c r="D3" s="541"/>
      <c r="E3" s="541"/>
      <c r="F3" s="541"/>
      <c r="G3" s="541"/>
      <c r="H3" s="541"/>
      <c r="I3" s="541"/>
      <c r="J3" s="541"/>
      <c r="K3" s="541"/>
      <c r="L3" s="541"/>
      <c r="M3" s="541"/>
      <c r="N3" s="541"/>
      <c r="O3" s="541"/>
      <c r="P3" s="541"/>
      <c r="Q3" s="257"/>
      <c r="R3" s="588">
        <v>1</v>
      </c>
      <c r="S3" s="204"/>
      <c r="T3" s="546"/>
      <c r="U3" s="47"/>
      <c r="V3" s="47"/>
      <c r="W3" s="47"/>
      <c r="BH3" s="80"/>
      <c r="BI3" s="80"/>
    </row>
    <row r="4" spans="2:61" s="1" customFormat="1" ht="33" customHeight="1" x14ac:dyDescent="0.35">
      <c r="B4" s="545"/>
      <c r="C4" s="858" t="s">
        <v>619</v>
      </c>
      <c r="D4" s="858"/>
      <c r="E4" s="858"/>
      <c r="F4" s="858"/>
      <c r="G4" s="858"/>
      <c r="H4" s="858"/>
      <c r="I4" s="858"/>
      <c r="J4" s="858"/>
      <c r="K4" s="589"/>
      <c r="L4" s="589"/>
      <c r="M4" s="589"/>
      <c r="N4" s="589"/>
      <c r="O4" s="589"/>
      <c r="P4" s="589"/>
      <c r="Q4" s="257"/>
      <c r="R4" s="204"/>
      <c r="S4" s="204"/>
      <c r="T4" s="546"/>
      <c r="X4" s="102"/>
      <c r="Y4" s="102"/>
      <c r="Z4" s="102"/>
      <c r="AA4" s="102"/>
      <c r="AB4" s="102"/>
      <c r="AC4" s="102"/>
      <c r="AD4" s="102"/>
      <c r="AE4" s="102"/>
      <c r="AF4" s="102"/>
      <c r="AG4" s="102"/>
      <c r="AH4" s="102"/>
      <c r="AI4" s="102"/>
      <c r="AJ4" s="102"/>
      <c r="AK4" s="102"/>
      <c r="AL4" s="102"/>
      <c r="AM4" s="102"/>
      <c r="AN4" s="102"/>
      <c r="AO4" s="102"/>
      <c r="AP4" s="102"/>
      <c r="AQ4" s="102"/>
      <c r="AR4" s="102"/>
      <c r="BB4" s="80"/>
      <c r="BC4" s="80"/>
    </row>
    <row r="5" spans="2:61" s="21" customFormat="1" ht="33.75" x14ac:dyDescent="0.35">
      <c r="B5" s="545"/>
      <c r="C5" s="859">
        <f>Report_Date</f>
        <v>42339</v>
      </c>
      <c r="D5" s="859"/>
      <c r="E5" s="859"/>
      <c r="F5" s="859"/>
      <c r="G5" s="859"/>
      <c r="H5" s="859"/>
      <c r="I5" s="859"/>
      <c r="J5" s="859"/>
      <c r="K5" s="590"/>
      <c r="L5" s="590"/>
      <c r="M5" s="590"/>
      <c r="N5" s="590"/>
      <c r="O5" s="590"/>
      <c r="P5" s="590"/>
      <c r="Q5" s="591"/>
      <c r="R5" s="214"/>
      <c r="S5" s="214"/>
      <c r="T5" s="592"/>
      <c r="Y5" s="102"/>
      <c r="Z5" s="102"/>
      <c r="AA5" s="102"/>
      <c r="AB5" s="102"/>
      <c r="AC5" s="102"/>
      <c r="AD5" s="102"/>
      <c r="AE5" s="102"/>
      <c r="AF5" s="102"/>
      <c r="AG5" s="102"/>
      <c r="AH5" s="102"/>
      <c r="AI5" s="102"/>
      <c r="AJ5" s="102"/>
      <c r="AK5" s="102"/>
      <c r="AL5" s="102"/>
      <c r="AM5" s="102"/>
      <c r="AN5" s="102"/>
      <c r="AO5" s="102"/>
      <c r="AP5" s="102"/>
      <c r="AQ5" s="102"/>
      <c r="AR5" s="102"/>
      <c r="BB5" s="81"/>
      <c r="BC5" s="81"/>
    </row>
    <row r="6" spans="2:61" ht="36.75" thickBot="1" x14ac:dyDescent="0.6">
      <c r="B6" s="68"/>
      <c r="C6" s="55"/>
      <c r="D6" s="579" t="s">
        <v>7</v>
      </c>
      <c r="E6" s="580">
        <f>'NFI Distribution (by Tship)'!B17</f>
        <v>28015</v>
      </c>
      <c r="F6" s="581"/>
      <c r="G6" s="55"/>
      <c r="H6" s="55"/>
      <c r="I6" s="55"/>
      <c r="J6" s="55"/>
      <c r="K6" s="55"/>
      <c r="L6" s="55"/>
      <c r="M6" s="55"/>
      <c r="N6" s="55"/>
      <c r="O6" s="55"/>
      <c r="P6" s="55"/>
      <c r="Q6" s="578"/>
      <c r="R6" s="55"/>
      <c r="S6" s="55"/>
      <c r="T6" s="571"/>
    </row>
    <row r="7" spans="2:61" s="102" customFormat="1" ht="26.25" thickBot="1" x14ac:dyDescent="0.4">
      <c r="B7" s="68"/>
      <c r="C7" s="55"/>
      <c r="D7" s="594" t="s">
        <v>536</v>
      </c>
      <c r="E7" s="595" t="s">
        <v>303</v>
      </c>
      <c r="F7" s="596" t="s">
        <v>304</v>
      </c>
      <c r="G7" s="597" t="s">
        <v>305</v>
      </c>
      <c r="H7" s="597" t="s">
        <v>305</v>
      </c>
      <c r="I7" s="598" t="s">
        <v>306</v>
      </c>
      <c r="J7" s="598" t="s">
        <v>306</v>
      </c>
      <c r="K7" s="599" t="s">
        <v>307</v>
      </c>
      <c r="L7" s="600" t="s">
        <v>307</v>
      </c>
      <c r="M7" s="601" t="s">
        <v>210</v>
      </c>
      <c r="N7" s="601" t="s">
        <v>210</v>
      </c>
      <c r="O7" s="602" t="s">
        <v>308</v>
      </c>
      <c r="P7" s="603" t="s">
        <v>308</v>
      </c>
      <c r="Q7" s="578"/>
      <c r="R7" s="582">
        <v>1</v>
      </c>
      <c r="S7" s="55"/>
      <c r="T7" s="571"/>
      <c r="U7" s="47"/>
      <c r="V7" s="47"/>
      <c r="W7" s="47"/>
      <c r="X7" s="47"/>
      <c r="Y7" s="47"/>
      <c r="Z7" s="47"/>
      <c r="AA7" s="47"/>
      <c r="AB7" s="47"/>
    </row>
    <row r="8" spans="2:61" s="102" customFormat="1" ht="21.75" thickBot="1" x14ac:dyDescent="0.4">
      <c r="B8" s="68"/>
      <c r="C8" s="55"/>
      <c r="D8" s="487" t="s">
        <v>309</v>
      </c>
      <c r="E8" s="604">
        <f>VLOOKUP($D8,NFI,6,0)</f>
        <v>1</v>
      </c>
      <c r="F8" s="489">
        <f>$E$6*E8</f>
        <v>28015</v>
      </c>
      <c r="G8" s="194">
        <f ca="1">SUMIFS(INDIRECT(VLOOKUP($D8,NFI,2,0)),NFI_State,"Rakhine")</f>
        <v>4316</v>
      </c>
      <c r="H8" s="490">
        <f ca="1">IF((G8/F8)&gt;100%,100%,(G8/F8))</f>
        <v>0.15406032482598608</v>
      </c>
      <c r="I8" s="194">
        <f ca="1">SUMIFS(INDIRECT(VLOOKUP($D8,NFI,3,0)),NFI_Pipeline_State,$D$6)</f>
        <v>0</v>
      </c>
      <c r="J8" s="491">
        <f ca="1">I8/F8</f>
        <v>0</v>
      </c>
      <c r="K8" s="194">
        <f ca="1">IF((F8-(SUM(G8:I8)))&lt;0,0,(F8-(SUM(G8:I8))))</f>
        <v>23698.845939675175</v>
      </c>
      <c r="L8" s="63">
        <f ca="1">K8/F8</f>
        <v>0.84593417596556042</v>
      </c>
      <c r="M8" s="194">
        <f ca="1">SUMIFS(INDIRECT(VLOOKUP($D8,NFI,4,0)),NFI_Pipeline_State,$D$6)</f>
        <v>0</v>
      </c>
      <c r="N8" s="493">
        <f ca="1">M8/F8</f>
        <v>0</v>
      </c>
      <c r="O8" s="494">
        <f ca="1">IF((F8-(G8+I8+M8))&lt;0,0,(F8-(G8+I8+M8)))</f>
        <v>23699</v>
      </c>
      <c r="P8" s="495">
        <f ca="1">O8/F8</f>
        <v>0.84593967517401392</v>
      </c>
      <c r="Q8" s="578"/>
      <c r="R8" s="582">
        <v>1</v>
      </c>
      <c r="S8" s="55"/>
      <c r="T8" s="571"/>
      <c r="U8" s="47"/>
      <c r="V8" s="47"/>
      <c r="W8" s="47"/>
      <c r="X8" s="47"/>
      <c r="Y8" s="47"/>
      <c r="Z8" s="47"/>
      <c r="AA8" s="47"/>
      <c r="AB8" s="47"/>
    </row>
    <row r="9" spans="2:61" s="102" customFormat="1" ht="21.75" thickBot="1" x14ac:dyDescent="0.4">
      <c r="B9" s="68"/>
      <c r="C9" s="55"/>
      <c r="D9" s="496" t="s">
        <v>204</v>
      </c>
      <c r="E9" s="605">
        <f>VLOOKUP($D9,NFI,6,0)</f>
        <v>1</v>
      </c>
      <c r="F9" s="49">
        <f>$E$6*E9</f>
        <v>28015</v>
      </c>
      <c r="G9" s="50">
        <f ca="1">SUMIFS(INDIRECT(VLOOKUP($D9,NFI,2,0)),NFI_State,"Rakhine")</f>
        <v>8005</v>
      </c>
      <c r="H9" s="51">
        <f ca="1">IF((G9/F9)&gt;100%,100%,(G9/F9))</f>
        <v>0.28573978225950386</v>
      </c>
      <c r="I9" s="50">
        <f ca="1">SUMIFS(INDIRECT(VLOOKUP($D9,NFI,3,0)),NFI_Pipeline_State,$D$6)</f>
        <v>0</v>
      </c>
      <c r="J9" s="52">
        <f ca="1">I9/F9</f>
        <v>0</v>
      </c>
      <c r="K9" s="50">
        <f ca="1">IF((F9-(SUM(G9:I9)))&lt;0,0,(F9-(SUM(G9:I9))))</f>
        <v>20009.714260217741</v>
      </c>
      <c r="L9" s="63">
        <f ca="1">K9/F9</f>
        <v>0.7142500182123056</v>
      </c>
      <c r="M9" s="50">
        <f ca="1">SUMIFS(INDIRECT(VLOOKUP($D9,NFI,4,0)),NFI_Pipeline_State,$D$6)</f>
        <v>0</v>
      </c>
      <c r="N9" s="53">
        <f ca="1">M9/F9</f>
        <v>0</v>
      </c>
      <c r="O9" s="54">
        <f ca="1">IF((F9-(G9+I9+M9))&lt;0,0,(F9-(G9+I9+M9)))</f>
        <v>20010</v>
      </c>
      <c r="P9" s="499">
        <f ca="1">O9/F9</f>
        <v>0.71426021774049619</v>
      </c>
      <c r="Q9" s="578"/>
      <c r="R9" s="582">
        <v>1</v>
      </c>
      <c r="S9" s="55"/>
      <c r="T9" s="571"/>
      <c r="U9" s="47"/>
      <c r="V9" s="47"/>
      <c r="W9" s="47"/>
      <c r="X9" s="47"/>
      <c r="Y9" s="47"/>
      <c r="Z9" s="47"/>
      <c r="AA9" s="47"/>
      <c r="AB9" s="47"/>
    </row>
    <row r="10" spans="2:61" s="102" customFormat="1" ht="21.75" thickBot="1" x14ac:dyDescent="0.4">
      <c r="B10" s="68"/>
      <c r="C10" s="55"/>
      <c r="D10" s="500" t="s">
        <v>310</v>
      </c>
      <c r="E10" s="606">
        <f>VLOOKUP($D10,NFI,6,0)</f>
        <v>1</v>
      </c>
      <c r="F10" s="502">
        <f>$E$6*E10</f>
        <v>28015</v>
      </c>
      <c r="G10" s="195">
        <f ca="1">SUMIFS(INDIRECT(VLOOKUP($D10,NFI,2,0)),NFI_State,"Rakhine")</f>
        <v>925</v>
      </c>
      <c r="H10" s="503">
        <f ca="1">IF((G10/F10)&gt;100%,100%,(G10/F10))</f>
        <v>3.3018026057469216E-2</v>
      </c>
      <c r="I10" s="195">
        <f ca="1">SUMIFS(INDIRECT(VLOOKUP($D10,NFI,3,0)),NFI_Pipeline_State,$D$6)</f>
        <v>0</v>
      </c>
      <c r="J10" s="504">
        <f ca="1">I10/F10</f>
        <v>0</v>
      </c>
      <c r="K10" s="195">
        <f ca="1">IF((F10-(SUM(G10:I10)))&lt;0,0,(F10-(SUM(G10:I10))))</f>
        <v>27089.966981973943</v>
      </c>
      <c r="L10" s="607">
        <f ca="1">K10/F10</f>
        <v>0.96698079535869863</v>
      </c>
      <c r="M10" s="195">
        <f ca="1">SUMIFS(INDIRECT(VLOOKUP($D10,NFI,4,0)),NFI_Pipeline_State,$D$6)</f>
        <v>0</v>
      </c>
      <c r="N10" s="506">
        <f ca="1">M10/F10</f>
        <v>0</v>
      </c>
      <c r="O10" s="507">
        <f ca="1">IF((F10-(G10+I10+M10))&lt;0,0,(F10-(G10+I10+M10)))</f>
        <v>27090</v>
      </c>
      <c r="P10" s="508">
        <f ca="1">O10/F10</f>
        <v>0.96698197394253083</v>
      </c>
      <c r="Q10" s="578"/>
      <c r="R10" s="582">
        <v>1</v>
      </c>
      <c r="S10" s="55"/>
      <c r="T10" s="571"/>
      <c r="U10" s="47"/>
      <c r="V10" s="47"/>
      <c r="W10" s="47"/>
      <c r="X10" s="47"/>
      <c r="Y10" s="47"/>
      <c r="Z10" s="47"/>
      <c r="AA10" s="47"/>
      <c r="AB10" s="47"/>
    </row>
    <row r="11" spans="2:61" s="102" customFormat="1" ht="14.25" customHeight="1" x14ac:dyDescent="0.35">
      <c r="B11" s="68"/>
      <c r="C11" s="55"/>
      <c r="D11" s="55"/>
      <c r="E11" s="55"/>
      <c r="F11" s="55"/>
      <c r="G11" s="55"/>
      <c r="H11" s="55"/>
      <c r="I11" s="55"/>
      <c r="J11" s="55"/>
      <c r="K11" s="55"/>
      <c r="L11" s="55"/>
      <c r="M11" s="55"/>
      <c r="N11" s="55"/>
      <c r="O11" s="55"/>
      <c r="P11" s="55"/>
      <c r="Q11" s="578"/>
      <c r="R11" s="582">
        <v>1</v>
      </c>
      <c r="S11" s="55"/>
      <c r="T11" s="571"/>
      <c r="U11" s="47"/>
      <c r="V11" s="47"/>
      <c r="W11" s="47"/>
      <c r="X11" s="47"/>
      <c r="Y11" s="47"/>
      <c r="Z11" s="47"/>
      <c r="AA11" s="47"/>
      <c r="AB11" s="47"/>
    </row>
    <row r="12" spans="2:61" s="102" customFormat="1" x14ac:dyDescent="0.25">
      <c r="B12" s="68"/>
      <c r="C12" s="55"/>
      <c r="D12" s="55"/>
      <c r="E12" s="55"/>
      <c r="F12" s="55"/>
      <c r="G12" s="55"/>
      <c r="H12" s="55"/>
      <c r="I12" s="55"/>
      <c r="J12" s="55"/>
      <c r="K12" s="55"/>
      <c r="L12" s="55"/>
      <c r="M12" s="55"/>
      <c r="N12" s="55"/>
      <c r="O12" s="55"/>
      <c r="P12" s="55"/>
      <c r="Q12" s="55"/>
      <c r="R12" s="582">
        <v>1</v>
      </c>
      <c r="S12" s="55"/>
      <c r="T12" s="571"/>
      <c r="U12" s="47"/>
      <c r="V12" s="47"/>
      <c r="W12" s="47"/>
      <c r="X12" s="47"/>
      <c r="Y12" s="47"/>
      <c r="Z12" s="47"/>
      <c r="AA12" s="47"/>
      <c r="AB12" s="47"/>
    </row>
    <row r="13" spans="2:61" x14ac:dyDescent="0.25">
      <c r="B13" s="68"/>
      <c r="C13" s="55"/>
      <c r="D13" s="55"/>
      <c r="E13" s="55"/>
      <c r="F13" s="55"/>
      <c r="G13" s="55"/>
      <c r="H13" s="55"/>
      <c r="I13" s="55"/>
      <c r="J13" s="55"/>
      <c r="K13" s="55"/>
      <c r="L13" s="55"/>
      <c r="M13" s="55"/>
      <c r="N13" s="55"/>
      <c r="O13" s="55"/>
      <c r="P13" s="55"/>
      <c r="Q13" s="55"/>
      <c r="R13" s="582">
        <v>1</v>
      </c>
      <c r="S13" s="55"/>
      <c r="T13" s="571"/>
    </row>
    <row r="14" spans="2:61" ht="27" customHeight="1" x14ac:dyDescent="0.25">
      <c r="B14" s="68"/>
      <c r="C14" s="55"/>
      <c r="D14" s="55"/>
      <c r="E14" s="55"/>
      <c r="F14" s="55"/>
      <c r="G14" s="55"/>
      <c r="H14" s="55"/>
      <c r="I14" s="55"/>
      <c r="J14" s="55"/>
      <c r="K14" s="55"/>
      <c r="L14" s="55"/>
      <c r="M14" s="55"/>
      <c r="N14" s="55"/>
      <c r="O14" s="55"/>
      <c r="P14" s="55"/>
      <c r="Q14" s="55"/>
      <c r="R14" s="582">
        <v>1</v>
      </c>
      <c r="S14" s="55"/>
      <c r="T14" s="571"/>
    </row>
    <row r="15" spans="2:61" s="102" customFormat="1" ht="12.75" customHeight="1" thickBot="1" x14ac:dyDescent="0.3">
      <c r="B15" s="68"/>
      <c r="C15" s="55"/>
      <c r="D15" s="55"/>
      <c r="E15" s="55"/>
      <c r="F15" s="55"/>
      <c r="G15" s="55"/>
      <c r="H15" s="55"/>
      <c r="I15" s="55"/>
      <c r="J15" s="55"/>
      <c r="K15" s="55"/>
      <c r="L15" s="55"/>
      <c r="M15" s="55"/>
      <c r="N15" s="55"/>
      <c r="O15" s="55"/>
      <c r="P15" s="55"/>
      <c r="Q15" s="55"/>
      <c r="R15" s="582"/>
      <c r="S15" s="55"/>
      <c r="T15" s="571"/>
      <c r="U15" s="47"/>
      <c r="V15" s="47"/>
      <c r="W15" s="47"/>
      <c r="X15" s="47"/>
      <c r="Y15" s="47"/>
      <c r="Z15" s="47"/>
      <c r="AA15" s="47"/>
      <c r="AB15" s="47"/>
    </row>
    <row r="16" spans="2:61" s="298" customFormat="1" ht="30.75" thickBot="1" x14ac:dyDescent="0.3">
      <c r="B16" s="593"/>
      <c r="C16" s="583"/>
      <c r="D16" s="479" t="s">
        <v>606</v>
      </c>
      <c r="E16" s="480" t="s">
        <v>303</v>
      </c>
      <c r="F16" s="481" t="s">
        <v>304</v>
      </c>
      <c r="G16" s="482" t="s">
        <v>305</v>
      </c>
      <c r="H16" s="482" t="s">
        <v>305</v>
      </c>
      <c r="I16" s="483" t="s">
        <v>306</v>
      </c>
      <c r="J16" s="483" t="s">
        <v>306</v>
      </c>
      <c r="K16" s="481" t="s">
        <v>307</v>
      </c>
      <c r="L16" s="481" t="s">
        <v>307</v>
      </c>
      <c r="M16" s="484" t="s">
        <v>210</v>
      </c>
      <c r="N16" s="484" t="s">
        <v>210</v>
      </c>
      <c r="O16" s="485" t="s">
        <v>308</v>
      </c>
      <c r="P16" s="486" t="s">
        <v>308</v>
      </c>
      <c r="Q16" s="583"/>
      <c r="R16" s="582">
        <v>1</v>
      </c>
      <c r="S16" s="583"/>
      <c r="T16" s="584"/>
      <c r="U16" s="478"/>
      <c r="V16" s="478"/>
      <c r="W16" s="478"/>
      <c r="X16" s="478"/>
      <c r="Y16" s="478"/>
      <c r="Z16" s="478"/>
      <c r="AA16" s="478"/>
      <c r="AB16" s="478"/>
    </row>
    <row r="17" spans="2:28" s="298" customFormat="1" x14ac:dyDescent="0.25">
      <c r="B17" s="593"/>
      <c r="C17" s="583"/>
      <c r="D17" s="487" t="s">
        <v>615</v>
      </c>
      <c r="E17" s="488">
        <f t="shared" ref="E17:E24" si="0">VLOOKUP($D17,NFI,6,0)</f>
        <v>2</v>
      </c>
      <c r="F17" s="489">
        <f>$E$6*E17</f>
        <v>56030</v>
      </c>
      <c r="G17" s="194">
        <f t="shared" ref="G17:G24" ca="1" si="1">SUMIFS(INDIRECT(VLOOKUP($D17,NFI,2,0)),NFI_State,"Rakhine")</f>
        <v>22319</v>
      </c>
      <c r="H17" s="490">
        <f ca="1">IF((G17/F17)&gt;100%,100%,(G17/F17))</f>
        <v>0.39834017490630019</v>
      </c>
      <c r="I17" s="194">
        <f t="shared" ref="I17:I23" ca="1" si="2">SUMIFS(INDIRECT(VLOOKUP($D17,NFI,3,0)),NFI_Pipeline_State,$D$6)+E17*I$9</f>
        <v>6055</v>
      </c>
      <c r="J17" s="491">
        <f t="shared" ref="J17:J24" ca="1" si="3">I17/F17</f>
        <v>0.1080671069070141</v>
      </c>
      <c r="K17" s="194">
        <f ca="1">IF((F17-(SUM(G17:I17)))&lt;0,0,(F17-(SUM(G17:I17))))</f>
        <v>27655.601659825094</v>
      </c>
      <c r="L17" s="492">
        <f t="shared" ref="L17:L24" ca="1" si="4">K17/F17</f>
        <v>0.49358560877788854</v>
      </c>
      <c r="M17" s="194">
        <f t="shared" ref="M17:M24" ca="1" si="5">SUMIFS(INDIRECT(VLOOKUP($D17,NFI,4,0)),NFI_Pipeline_State,$D$6)+E17*M$9</f>
        <v>0</v>
      </c>
      <c r="N17" s="493">
        <f t="shared" ref="N17:N24" ca="1" si="6">M17/F17</f>
        <v>0</v>
      </c>
      <c r="O17" s="494">
        <f t="shared" ref="O17:O24" ca="1" si="7">IF((F17-(G17+I17+M17))&lt;0,0,(F17-(G17+I17+M17)))</f>
        <v>27656</v>
      </c>
      <c r="P17" s="495">
        <f t="shared" ref="P17:P24" ca="1" si="8">O17/F17</f>
        <v>0.49359271818668571</v>
      </c>
      <c r="Q17" s="583"/>
      <c r="R17" s="583"/>
      <c r="S17" s="583"/>
      <c r="T17" s="584"/>
      <c r="U17" s="478"/>
      <c r="V17" s="478"/>
      <c r="W17" s="478"/>
      <c r="X17" s="478"/>
      <c r="Y17" s="478"/>
      <c r="Z17" s="478"/>
      <c r="AA17" s="478"/>
      <c r="AB17" s="478"/>
    </row>
    <row r="18" spans="2:28" s="298" customFormat="1" x14ac:dyDescent="0.25">
      <c r="B18" s="593"/>
      <c r="C18" s="583"/>
      <c r="D18" s="496" t="s">
        <v>311</v>
      </c>
      <c r="E18" s="497">
        <f t="shared" si="0"/>
        <v>1</v>
      </c>
      <c r="F18" s="49">
        <f t="shared" ref="F18:F24" si="9">$E$6*E18</f>
        <v>28015</v>
      </c>
      <c r="G18" s="50">
        <f t="shared" ca="1" si="1"/>
        <v>11772</v>
      </c>
      <c r="H18" s="51">
        <f t="shared" ref="H18:H24" ca="1" si="10">IF((G18/F18)&gt;100%,100%,(G18/F18))</f>
        <v>0.42020346243084061</v>
      </c>
      <c r="I18" s="50">
        <f t="shared" ca="1" si="2"/>
        <v>3657</v>
      </c>
      <c r="J18" s="52">
        <f t="shared" ca="1" si="3"/>
        <v>0.13053721220774586</v>
      </c>
      <c r="K18" s="50">
        <f t="shared" ref="K18:K24" ca="1" si="11">IF((F18-(SUM(G18:I18)))&lt;0,0,(F18-(SUM(G18:I18))))</f>
        <v>12585.57979653757</v>
      </c>
      <c r="L18" s="498">
        <f t="shared" ca="1" si="4"/>
        <v>0.4492443261302006</v>
      </c>
      <c r="M18" s="50">
        <f t="shared" ca="1" si="5"/>
        <v>0</v>
      </c>
      <c r="N18" s="53">
        <f t="shared" ca="1" si="6"/>
        <v>0</v>
      </c>
      <c r="O18" s="54">
        <f t="shared" ca="1" si="7"/>
        <v>12586</v>
      </c>
      <c r="P18" s="499">
        <f t="shared" ca="1" si="8"/>
        <v>0.44925932536141355</v>
      </c>
      <c r="Q18" s="583"/>
      <c r="R18" s="583"/>
      <c r="S18" s="583"/>
      <c r="T18" s="584"/>
      <c r="U18" s="478"/>
      <c r="V18" s="478"/>
      <c r="W18" s="478"/>
      <c r="X18" s="478"/>
      <c r="Y18" s="478"/>
      <c r="Z18" s="478"/>
      <c r="AA18" s="478"/>
      <c r="AB18" s="478"/>
    </row>
    <row r="19" spans="2:28" s="298" customFormat="1" x14ac:dyDescent="0.25">
      <c r="B19" s="593"/>
      <c r="C19" s="583"/>
      <c r="D19" s="496" t="s">
        <v>230</v>
      </c>
      <c r="E19" s="497">
        <f t="shared" si="0"/>
        <v>2</v>
      </c>
      <c r="F19" s="49">
        <f t="shared" si="9"/>
        <v>56030</v>
      </c>
      <c r="G19" s="50">
        <f t="shared" ca="1" si="1"/>
        <v>23588</v>
      </c>
      <c r="H19" s="51">
        <f t="shared" ca="1" si="10"/>
        <v>0.42098875602355879</v>
      </c>
      <c r="I19" s="50">
        <f t="shared" ca="1" si="2"/>
        <v>3169</v>
      </c>
      <c r="J19" s="52">
        <f t="shared" ca="1" si="3"/>
        <v>5.655898625736213E-2</v>
      </c>
      <c r="K19" s="50">
        <f t="shared" ca="1" si="11"/>
        <v>29272.579011243975</v>
      </c>
      <c r="L19" s="498">
        <f t="shared" ca="1" si="4"/>
        <v>0.52244474408788111</v>
      </c>
      <c r="M19" s="50">
        <f t="shared" ca="1" si="5"/>
        <v>0</v>
      </c>
      <c r="N19" s="53">
        <f t="shared" ca="1" si="6"/>
        <v>0</v>
      </c>
      <c r="O19" s="54">
        <f t="shared" ca="1" si="7"/>
        <v>29273</v>
      </c>
      <c r="P19" s="499">
        <f t="shared" ca="1" si="8"/>
        <v>0.52245225771907911</v>
      </c>
      <c r="Q19" s="583"/>
      <c r="R19" s="583"/>
      <c r="S19" s="583"/>
      <c r="T19" s="584"/>
      <c r="U19" s="478"/>
      <c r="V19" s="478"/>
      <c r="W19" s="478"/>
      <c r="X19" s="478"/>
      <c r="Y19" s="478"/>
      <c r="Z19" s="478"/>
      <c r="AA19" s="478"/>
      <c r="AB19" s="478"/>
    </row>
    <row r="20" spans="2:28" s="298" customFormat="1" x14ac:dyDescent="0.25">
      <c r="B20" s="593"/>
      <c r="C20" s="583"/>
      <c r="D20" s="496" t="s">
        <v>231</v>
      </c>
      <c r="E20" s="497">
        <f t="shared" si="0"/>
        <v>1</v>
      </c>
      <c r="F20" s="49">
        <f t="shared" si="9"/>
        <v>28015</v>
      </c>
      <c r="G20" s="50">
        <f t="shared" ca="1" si="1"/>
        <v>10021</v>
      </c>
      <c r="H20" s="51">
        <f t="shared" ca="1" si="10"/>
        <v>0.35770123148313404</v>
      </c>
      <c r="I20" s="50">
        <f t="shared" ca="1" si="2"/>
        <v>3630</v>
      </c>
      <c r="J20" s="52">
        <f t="shared" ca="1" si="3"/>
        <v>0.1295734427985008</v>
      </c>
      <c r="K20" s="50">
        <f t="shared" ca="1" si="11"/>
        <v>14363.642298768516</v>
      </c>
      <c r="L20" s="498">
        <f t="shared" ca="1" si="4"/>
        <v>0.51271255751449285</v>
      </c>
      <c r="M20" s="50">
        <f t="shared" ca="1" si="5"/>
        <v>0</v>
      </c>
      <c r="N20" s="53">
        <f t="shared" ca="1" si="6"/>
        <v>0</v>
      </c>
      <c r="O20" s="54">
        <f t="shared" ca="1" si="7"/>
        <v>14364</v>
      </c>
      <c r="P20" s="499">
        <f t="shared" ca="1" si="8"/>
        <v>0.51272532571836515</v>
      </c>
      <c r="Q20" s="583"/>
      <c r="R20" s="583"/>
      <c r="S20" s="583"/>
      <c r="T20" s="584"/>
      <c r="U20" s="478"/>
      <c r="V20" s="478"/>
      <c r="W20" s="478"/>
      <c r="X20" s="478"/>
      <c r="Y20" s="478"/>
      <c r="Z20" s="478"/>
      <c r="AA20" s="478"/>
      <c r="AB20" s="478"/>
    </row>
    <row r="21" spans="2:28" s="298" customFormat="1" x14ac:dyDescent="0.25">
      <c r="B21" s="593"/>
      <c r="C21" s="583"/>
      <c r="D21" s="496" t="s">
        <v>336</v>
      </c>
      <c r="E21" s="497">
        <f t="shared" si="0"/>
        <v>1</v>
      </c>
      <c r="F21" s="49">
        <f t="shared" si="9"/>
        <v>28015</v>
      </c>
      <c r="G21" s="50">
        <f t="shared" ca="1" si="1"/>
        <v>509</v>
      </c>
      <c r="H21" s="51">
        <f t="shared" ca="1" si="10"/>
        <v>1.8168838122434409E-2</v>
      </c>
      <c r="I21" s="50">
        <f t="shared" ca="1" si="2"/>
        <v>8</v>
      </c>
      <c r="J21" s="52">
        <f t="shared" ca="1" si="3"/>
        <v>2.8556130644297699E-4</v>
      </c>
      <c r="K21" s="50">
        <f t="shared" ca="1" si="11"/>
        <v>27497.981831161876</v>
      </c>
      <c r="L21" s="498">
        <f t="shared" ca="1" si="4"/>
        <v>0.98154495203147873</v>
      </c>
      <c r="M21" s="50">
        <f t="shared" ca="1" si="5"/>
        <v>0</v>
      </c>
      <c r="N21" s="53">
        <f t="shared" ca="1" si="6"/>
        <v>0</v>
      </c>
      <c r="O21" s="54">
        <f t="shared" ca="1" si="7"/>
        <v>27498</v>
      </c>
      <c r="P21" s="499">
        <f t="shared" ca="1" si="8"/>
        <v>0.98154560057112261</v>
      </c>
      <c r="Q21" s="583"/>
      <c r="R21" s="583"/>
      <c r="S21" s="583"/>
      <c r="T21" s="584"/>
      <c r="U21" s="478"/>
      <c r="V21" s="478"/>
      <c r="W21" s="478"/>
      <c r="X21" s="478"/>
      <c r="Y21" s="478"/>
      <c r="Z21" s="478"/>
      <c r="AA21" s="478"/>
      <c r="AB21" s="478"/>
    </row>
    <row r="22" spans="2:28" s="298" customFormat="1" x14ac:dyDescent="0.25">
      <c r="B22" s="593"/>
      <c r="C22" s="583"/>
      <c r="D22" s="496" t="s">
        <v>596</v>
      </c>
      <c r="E22" s="497">
        <f t="shared" si="0"/>
        <v>1</v>
      </c>
      <c r="F22" s="49">
        <f t="shared" si="9"/>
        <v>28015</v>
      </c>
      <c r="G22" s="50">
        <f t="shared" ca="1" si="1"/>
        <v>10979</v>
      </c>
      <c r="H22" s="51">
        <f ca="1">IF((G22/F22)&gt;100%,100%,(G22/F22))</f>
        <v>0.39189719792968053</v>
      </c>
      <c r="I22" s="50">
        <f t="shared" ca="1" si="2"/>
        <v>3166</v>
      </c>
      <c r="J22" s="52">
        <f t="shared" ca="1" si="3"/>
        <v>0.11301088702480813</v>
      </c>
      <c r="K22" s="50">
        <f t="shared" ca="1" si="11"/>
        <v>13869.608102802071</v>
      </c>
      <c r="L22" s="498">
        <f t="shared" ca="1" si="4"/>
        <v>0.49507792621103236</v>
      </c>
      <c r="M22" s="50">
        <f t="shared" ca="1" si="5"/>
        <v>0</v>
      </c>
      <c r="N22" s="53">
        <f t="shared" ca="1" si="6"/>
        <v>0</v>
      </c>
      <c r="O22" s="54">
        <f t="shared" ca="1" si="7"/>
        <v>13870</v>
      </c>
      <c r="P22" s="499">
        <f t="shared" ca="1" si="8"/>
        <v>0.49509191504551131</v>
      </c>
      <c r="Q22" s="583"/>
      <c r="R22" s="583"/>
      <c r="S22" s="583"/>
      <c r="T22" s="584"/>
      <c r="U22" s="478"/>
      <c r="V22" s="478"/>
      <c r="W22" s="478"/>
      <c r="X22" s="478"/>
      <c r="Y22" s="478"/>
      <c r="Z22" s="478"/>
      <c r="AA22" s="478"/>
      <c r="AB22" s="478"/>
    </row>
    <row r="23" spans="2:28" s="298" customFormat="1" x14ac:dyDescent="0.25">
      <c r="B23" s="593"/>
      <c r="C23" s="583"/>
      <c r="D23" s="741" t="s">
        <v>978</v>
      </c>
      <c r="E23" s="497">
        <f t="shared" si="0"/>
        <v>1</v>
      </c>
      <c r="F23" s="49">
        <f t="shared" si="9"/>
        <v>28015</v>
      </c>
      <c r="G23" s="50">
        <f t="shared" ca="1" si="1"/>
        <v>9595</v>
      </c>
      <c r="H23" s="51">
        <f ca="1">IF((G23/F23)&gt;100%,100%,(G23/F23))</f>
        <v>0.34249509191504551</v>
      </c>
      <c r="I23" s="50">
        <f t="shared" ca="1" si="2"/>
        <v>2989</v>
      </c>
      <c r="J23" s="52">
        <f t="shared" ca="1" si="3"/>
        <v>0.10669284311975727</v>
      </c>
      <c r="K23" s="50">
        <f t="shared" ca="1" si="11"/>
        <v>15430.657504908086</v>
      </c>
      <c r="L23" s="498">
        <f t="shared" ca="1" si="4"/>
        <v>0.55079983954695999</v>
      </c>
      <c r="M23" s="50">
        <f t="shared" ca="1" si="5"/>
        <v>0</v>
      </c>
      <c r="N23" s="53">
        <f t="shared" ca="1" si="6"/>
        <v>0</v>
      </c>
      <c r="O23" s="54">
        <f t="shared" ca="1" si="7"/>
        <v>15431</v>
      </c>
      <c r="P23" s="499">
        <f t="shared" ca="1" si="8"/>
        <v>0.55081206496519719</v>
      </c>
      <c r="Q23" s="583"/>
      <c r="R23" s="583"/>
      <c r="S23" s="583"/>
      <c r="T23" s="584"/>
      <c r="U23" s="478"/>
      <c r="V23" s="478"/>
      <c r="W23" s="478"/>
      <c r="X23" s="478"/>
      <c r="Y23" s="478"/>
      <c r="Z23" s="478"/>
      <c r="AA23" s="478"/>
      <c r="AB23" s="478"/>
    </row>
    <row r="24" spans="2:28" s="298" customFormat="1" ht="15.75" thickBot="1" x14ac:dyDescent="0.3">
      <c r="B24" s="593"/>
      <c r="C24" s="583"/>
      <c r="D24" s="500" t="s">
        <v>597</v>
      </c>
      <c r="E24" s="501">
        <f t="shared" si="0"/>
        <v>5</v>
      </c>
      <c r="F24" s="502">
        <f t="shared" si="9"/>
        <v>140075</v>
      </c>
      <c r="G24" s="195">
        <f t="shared" ca="1" si="1"/>
        <v>130327.5</v>
      </c>
      <c r="H24" s="503">
        <f t="shared" ca="1" si="10"/>
        <v>0.93041227913617708</v>
      </c>
      <c r="I24" s="195">
        <f ca="1">SUMIFS(INDIRECT(VLOOKUP($D24,NFI,3,0)),NFI_Pipeline_State,$D$6)+E24*I$9</f>
        <v>13677</v>
      </c>
      <c r="J24" s="504">
        <f t="shared" ca="1" si="3"/>
        <v>9.7640549705514904E-2</v>
      </c>
      <c r="K24" s="195">
        <f t="shared" ca="1" si="11"/>
        <v>0</v>
      </c>
      <c r="L24" s="505">
        <f t="shared" ca="1" si="4"/>
        <v>0</v>
      </c>
      <c r="M24" s="195">
        <f t="shared" ca="1" si="5"/>
        <v>0</v>
      </c>
      <c r="N24" s="506">
        <f t="shared" ca="1" si="6"/>
        <v>0</v>
      </c>
      <c r="O24" s="507">
        <f t="shared" ca="1" si="7"/>
        <v>0</v>
      </c>
      <c r="P24" s="508">
        <f t="shared" ca="1" si="8"/>
        <v>0</v>
      </c>
      <c r="Q24" s="583"/>
      <c r="R24" s="583"/>
      <c r="S24" s="583"/>
      <c r="T24" s="584"/>
      <c r="U24" s="478"/>
      <c r="V24" s="478"/>
      <c r="W24" s="478"/>
      <c r="X24" s="478"/>
      <c r="Y24" s="478"/>
      <c r="Z24" s="478"/>
      <c r="AA24" s="478"/>
      <c r="AB24" s="478"/>
    </row>
    <row r="25" spans="2:28" x14ac:dyDescent="0.25">
      <c r="B25" s="68"/>
      <c r="C25" s="55"/>
      <c r="D25" s="55"/>
      <c r="E25" s="55"/>
      <c r="F25" s="55"/>
      <c r="G25" s="55"/>
      <c r="H25" s="55"/>
      <c r="I25" s="55"/>
      <c r="J25" s="55"/>
      <c r="K25" s="55"/>
      <c r="L25" s="55"/>
      <c r="M25" s="55"/>
      <c r="N25" s="55"/>
      <c r="O25" s="55"/>
      <c r="P25" s="55"/>
      <c r="Q25" s="55"/>
      <c r="R25" s="55"/>
      <c r="S25" s="55"/>
      <c r="T25" s="571"/>
    </row>
    <row r="26" spans="2:28" x14ac:dyDescent="0.25">
      <c r="B26" s="68"/>
      <c r="C26" s="55"/>
      <c r="D26" s="55"/>
      <c r="E26" s="55"/>
      <c r="F26" s="55"/>
      <c r="G26" s="55"/>
      <c r="H26" s="55"/>
      <c r="I26" s="55"/>
      <c r="J26" s="55"/>
      <c r="K26" s="55"/>
      <c r="L26" s="55"/>
      <c r="M26" s="55"/>
      <c r="N26" s="55"/>
      <c r="O26" s="55"/>
      <c r="P26" s="55"/>
      <c r="Q26" s="55"/>
      <c r="R26" s="55"/>
      <c r="S26" s="55"/>
      <c r="T26" s="571"/>
    </row>
    <row r="27" spans="2:28" x14ac:dyDescent="0.25">
      <c r="B27" s="68"/>
      <c r="C27" s="55"/>
      <c r="D27" s="55"/>
      <c r="E27" s="55"/>
      <c r="F27" s="55"/>
      <c r="G27" s="55"/>
      <c r="H27" s="55"/>
      <c r="I27" s="55"/>
      <c r="J27" s="55"/>
      <c r="K27" s="55"/>
      <c r="L27" s="55"/>
      <c r="M27" s="55"/>
      <c r="N27" s="55"/>
      <c r="O27" s="55"/>
      <c r="P27" s="55"/>
      <c r="Q27" s="55"/>
      <c r="R27" s="55"/>
      <c r="S27" s="55"/>
      <c r="T27" s="571"/>
    </row>
    <row r="28" spans="2:28" x14ac:dyDescent="0.25">
      <c r="B28" s="68"/>
      <c r="C28" s="55"/>
      <c r="D28" s="55"/>
      <c r="E28" s="55"/>
      <c r="F28" s="55"/>
      <c r="G28" s="55"/>
      <c r="H28" s="55"/>
      <c r="I28" s="55"/>
      <c r="J28" s="55"/>
      <c r="K28" s="55"/>
      <c r="L28" s="55"/>
      <c r="M28" s="55"/>
      <c r="N28" s="55"/>
      <c r="O28" s="55"/>
      <c r="P28" s="55"/>
      <c r="Q28" s="55"/>
      <c r="R28" s="55"/>
      <c r="S28" s="55"/>
      <c r="T28" s="571"/>
    </row>
    <row r="29" spans="2:28" x14ac:dyDescent="0.25">
      <c r="B29" s="68"/>
      <c r="C29" s="55"/>
      <c r="D29" s="55"/>
      <c r="E29" s="55"/>
      <c r="F29" s="55"/>
      <c r="G29" s="55"/>
      <c r="H29" s="55"/>
      <c r="I29" s="55"/>
      <c r="J29" s="55"/>
      <c r="K29" s="55"/>
      <c r="L29" s="55"/>
      <c r="M29" s="55"/>
      <c r="N29" s="55"/>
      <c r="O29" s="55"/>
      <c r="P29" s="55"/>
      <c r="Q29" s="55"/>
      <c r="R29" s="55"/>
      <c r="S29" s="55"/>
      <c r="T29" s="571"/>
    </row>
    <row r="30" spans="2:28" x14ac:dyDescent="0.25">
      <c r="B30" s="68"/>
      <c r="C30" s="55"/>
      <c r="D30" s="55"/>
      <c r="E30" s="55"/>
      <c r="F30" s="55"/>
      <c r="G30" s="55"/>
      <c r="H30" s="55"/>
      <c r="I30" s="55"/>
      <c r="J30" s="55"/>
      <c r="K30" s="55"/>
      <c r="L30" s="55"/>
      <c r="M30" s="55"/>
      <c r="N30" s="55"/>
      <c r="O30" s="55"/>
      <c r="P30" s="55"/>
      <c r="Q30" s="55"/>
      <c r="R30" s="55"/>
      <c r="S30" s="55"/>
      <c r="T30" s="571"/>
    </row>
    <row r="31" spans="2:28" x14ac:dyDescent="0.25">
      <c r="B31" s="68"/>
      <c r="C31" s="55"/>
      <c r="D31" s="55"/>
      <c r="E31" s="55"/>
      <c r="F31" s="55"/>
      <c r="G31" s="55"/>
      <c r="H31" s="55"/>
      <c r="I31" s="55"/>
      <c r="J31" s="55"/>
      <c r="K31" s="55"/>
      <c r="L31" s="55"/>
      <c r="M31" s="55"/>
      <c r="N31" s="55"/>
      <c r="O31" s="55"/>
      <c r="P31" s="55"/>
      <c r="Q31" s="55"/>
      <c r="R31" s="55"/>
      <c r="S31" s="55"/>
      <c r="T31" s="571"/>
    </row>
    <row r="32" spans="2:28" x14ac:dyDescent="0.25">
      <c r="B32" s="68"/>
      <c r="C32" s="55"/>
      <c r="D32" s="55"/>
      <c r="E32" s="55"/>
      <c r="F32" s="55"/>
      <c r="G32" s="55"/>
      <c r="H32" s="55"/>
      <c r="I32" s="55"/>
      <c r="J32" s="55"/>
      <c r="K32" s="55"/>
      <c r="L32" s="55"/>
      <c r="M32" s="55"/>
      <c r="N32" s="55"/>
      <c r="O32" s="55"/>
      <c r="P32" s="55"/>
      <c r="Q32" s="55"/>
      <c r="R32" s="55"/>
      <c r="S32" s="55"/>
      <c r="T32" s="571"/>
    </row>
    <row r="33" spans="2:20" x14ac:dyDescent="0.25">
      <c r="B33" s="68"/>
      <c r="C33" s="55"/>
      <c r="D33" s="55"/>
      <c r="E33" s="55"/>
      <c r="F33" s="55"/>
      <c r="G33" s="55"/>
      <c r="H33" s="55"/>
      <c r="I33" s="55"/>
      <c r="J33" s="55"/>
      <c r="K33" s="55"/>
      <c r="L33" s="55"/>
      <c r="M33" s="55"/>
      <c r="N33" s="55"/>
      <c r="O33" s="55"/>
      <c r="P33" s="55"/>
      <c r="Q33" s="55"/>
      <c r="R33" s="55"/>
      <c r="S33" s="55"/>
      <c r="T33" s="571"/>
    </row>
    <row r="34" spans="2:20" x14ac:dyDescent="0.25">
      <c r="B34" s="68"/>
      <c r="C34" s="55"/>
      <c r="D34" s="55"/>
      <c r="E34" s="55"/>
      <c r="F34" s="55"/>
      <c r="G34" s="55"/>
      <c r="H34" s="55"/>
      <c r="I34" s="55"/>
      <c r="J34" s="55"/>
      <c r="K34" s="55"/>
      <c r="L34" s="55"/>
      <c r="M34" s="55"/>
      <c r="N34" s="55"/>
      <c r="O34" s="55"/>
      <c r="P34" s="55"/>
      <c r="Q34" s="55"/>
      <c r="R34" s="55"/>
      <c r="S34" s="55"/>
      <c r="T34" s="571"/>
    </row>
    <row r="35" spans="2:20" x14ac:dyDescent="0.25">
      <c r="B35" s="68"/>
      <c r="C35" s="55"/>
      <c r="D35" s="55"/>
      <c r="E35" s="55"/>
      <c r="F35" s="55"/>
      <c r="G35" s="55"/>
      <c r="H35" s="55"/>
      <c r="I35" s="55"/>
      <c r="J35" s="55"/>
      <c r="K35" s="55"/>
      <c r="L35" s="55"/>
      <c r="M35" s="55"/>
      <c r="N35" s="55"/>
      <c r="O35" s="55"/>
      <c r="P35" s="55"/>
      <c r="Q35" s="55"/>
      <c r="R35" s="55"/>
      <c r="S35" s="55"/>
      <c r="T35" s="571"/>
    </row>
    <row r="36" spans="2:20" x14ac:dyDescent="0.25">
      <c r="B36" s="68"/>
      <c r="C36" s="55"/>
      <c r="D36" s="55"/>
      <c r="E36" s="55"/>
      <c r="F36" s="55"/>
      <c r="G36" s="55"/>
      <c r="H36" s="55"/>
      <c r="I36" s="55"/>
      <c r="J36" s="55"/>
      <c r="K36" s="55"/>
      <c r="L36" s="55"/>
      <c r="M36" s="55"/>
      <c r="N36" s="55"/>
      <c r="O36" s="55"/>
      <c r="P36" s="55"/>
      <c r="Q36" s="55"/>
      <c r="R36" s="55"/>
      <c r="S36" s="55"/>
      <c r="T36" s="571"/>
    </row>
    <row r="37" spans="2:20" x14ac:dyDescent="0.25">
      <c r="B37" s="68"/>
      <c r="C37" s="55"/>
      <c r="D37" s="55"/>
      <c r="E37" s="55"/>
      <c r="F37" s="55"/>
      <c r="G37" s="55"/>
      <c r="H37" s="55"/>
      <c r="I37" s="55"/>
      <c r="J37" s="55"/>
      <c r="K37" s="55"/>
      <c r="L37" s="55"/>
      <c r="M37" s="55"/>
      <c r="N37" s="55"/>
      <c r="O37" s="55"/>
      <c r="P37" s="55"/>
      <c r="Q37" s="55"/>
      <c r="R37" s="55"/>
      <c r="S37" s="55"/>
      <c r="T37" s="571"/>
    </row>
    <row r="38" spans="2:20" x14ac:dyDescent="0.25">
      <c r="B38" s="68"/>
      <c r="C38" s="55"/>
      <c r="D38" s="55"/>
      <c r="E38" s="55"/>
      <c r="F38" s="55"/>
      <c r="G38" s="55"/>
      <c r="H38" s="55"/>
      <c r="I38" s="55"/>
      <c r="J38" s="55"/>
      <c r="K38" s="55"/>
      <c r="L38" s="55"/>
      <c r="M38" s="55"/>
      <c r="N38" s="55"/>
      <c r="O38" s="55"/>
      <c r="P38" s="55"/>
      <c r="Q38" s="55"/>
      <c r="R38" s="55"/>
      <c r="S38" s="55"/>
      <c r="T38" s="571"/>
    </row>
    <row r="39" spans="2:20" ht="68.25" customHeight="1" x14ac:dyDescent="0.25">
      <c r="B39" s="68"/>
      <c r="C39" s="55"/>
      <c r="D39" s="55"/>
      <c r="E39" s="55"/>
      <c r="F39" s="55"/>
      <c r="G39" s="55"/>
      <c r="H39" s="55"/>
      <c r="I39" s="55"/>
      <c r="J39" s="55"/>
      <c r="K39" s="55"/>
      <c r="L39" s="55"/>
      <c r="M39" s="55"/>
      <c r="N39" s="55"/>
      <c r="O39" s="55"/>
      <c r="P39" s="55"/>
      <c r="Q39" s="55"/>
      <c r="R39" s="55"/>
      <c r="S39" s="55"/>
      <c r="T39" s="571"/>
    </row>
    <row r="40" spans="2:20" x14ac:dyDescent="0.25">
      <c r="B40" s="68"/>
      <c r="C40" s="55"/>
      <c r="D40" s="55"/>
      <c r="E40" s="55"/>
      <c r="F40" s="55"/>
      <c r="G40" s="55"/>
      <c r="H40" s="55"/>
      <c r="I40" s="55"/>
      <c r="J40" s="55"/>
      <c r="K40" s="55"/>
      <c r="L40" s="55"/>
      <c r="M40" s="55"/>
      <c r="N40" s="55"/>
      <c r="O40" s="55"/>
      <c r="P40" s="55"/>
      <c r="Q40" s="55"/>
      <c r="R40" s="55"/>
      <c r="S40" s="55"/>
      <c r="T40" s="571"/>
    </row>
    <row r="41" spans="2:20" x14ac:dyDescent="0.25">
      <c r="B41" s="68"/>
      <c r="C41" s="55"/>
      <c r="D41" s="55"/>
      <c r="E41" s="55"/>
      <c r="F41" s="55"/>
      <c r="G41" s="55"/>
      <c r="H41" s="55"/>
      <c r="I41" s="55"/>
      <c r="J41" s="55"/>
      <c r="K41" s="55"/>
      <c r="L41" s="55"/>
      <c r="M41" s="55"/>
      <c r="N41" s="55"/>
      <c r="O41" s="55"/>
      <c r="P41" s="55"/>
      <c r="Q41" s="55"/>
      <c r="R41" s="55"/>
      <c r="S41" s="55"/>
      <c r="T41" s="571"/>
    </row>
    <row r="42" spans="2:20" ht="15.75" thickBot="1" x14ac:dyDescent="0.3">
      <c r="B42" s="278"/>
      <c r="C42" s="576"/>
      <c r="D42" s="576"/>
      <c r="E42" s="576"/>
      <c r="F42" s="576"/>
      <c r="G42" s="576"/>
      <c r="H42" s="576"/>
      <c r="I42" s="576"/>
      <c r="J42" s="576"/>
      <c r="K42" s="576"/>
      <c r="L42" s="576"/>
      <c r="M42" s="576"/>
      <c r="N42" s="576"/>
      <c r="O42" s="576"/>
      <c r="P42" s="576"/>
      <c r="Q42" s="576"/>
      <c r="R42" s="576"/>
      <c r="S42" s="576"/>
      <c r="T42" s="577"/>
    </row>
    <row r="43" spans="2:20" x14ac:dyDescent="0.25">
      <c r="K43" s="47"/>
    </row>
    <row r="48" spans="2:20" x14ac:dyDescent="0.25">
      <c r="D48"/>
      <c r="E48"/>
      <c r="F48"/>
      <c r="G48"/>
      <c r="H48"/>
      <c r="I48"/>
      <c r="J48"/>
      <c r="K48"/>
    </row>
    <row r="79" spans="4:11" x14ac:dyDescent="0.25">
      <c r="D79"/>
      <c r="E79"/>
      <c r="F79"/>
      <c r="G79"/>
      <c r="H79"/>
      <c r="I79"/>
      <c r="J79"/>
      <c r="K79"/>
    </row>
    <row r="80" spans="4:11" x14ac:dyDescent="0.25">
      <c r="D80"/>
      <c r="E80"/>
      <c r="F80"/>
      <c r="G80"/>
      <c r="H80"/>
      <c r="I80"/>
      <c r="J80"/>
      <c r="K80"/>
    </row>
    <row r="81" spans="4:11" x14ac:dyDescent="0.25">
      <c r="D81"/>
      <c r="E81"/>
      <c r="F81"/>
      <c r="G81"/>
      <c r="H81"/>
      <c r="I81"/>
      <c r="J81"/>
      <c r="K81"/>
    </row>
    <row r="82" spans="4:11" x14ac:dyDescent="0.25">
      <c r="D82"/>
      <c r="E82"/>
      <c r="F82"/>
      <c r="G82"/>
      <c r="H82"/>
      <c r="I82"/>
      <c r="J82"/>
      <c r="K82"/>
    </row>
    <row r="83" spans="4:11" x14ac:dyDescent="0.25">
      <c r="D83"/>
      <c r="E83"/>
      <c r="F83"/>
      <c r="G83"/>
      <c r="H83"/>
      <c r="I83"/>
      <c r="J83"/>
      <c r="K83"/>
    </row>
    <row r="84" spans="4:11" x14ac:dyDescent="0.25">
      <c r="D84"/>
      <c r="E84"/>
      <c r="F84"/>
      <c r="G84"/>
      <c r="H84"/>
      <c r="I84"/>
      <c r="J84"/>
      <c r="K84"/>
    </row>
    <row r="85" spans="4:11" x14ac:dyDescent="0.25">
      <c r="D85"/>
      <c r="E85"/>
      <c r="F85"/>
      <c r="G85"/>
      <c r="H85"/>
      <c r="I85"/>
      <c r="J85"/>
      <c r="K85"/>
    </row>
    <row r="86" spans="4:11" x14ac:dyDescent="0.25">
      <c r="D86"/>
      <c r="E86"/>
      <c r="F86"/>
      <c r="G86"/>
      <c r="H86"/>
      <c r="I86"/>
      <c r="J86"/>
      <c r="K86"/>
    </row>
    <row r="87" spans="4:11" x14ac:dyDescent="0.25">
      <c r="D87"/>
      <c r="E87"/>
      <c r="F87"/>
      <c r="G87"/>
      <c r="H87"/>
      <c r="I87"/>
      <c r="J87"/>
      <c r="K87"/>
    </row>
    <row r="88" spans="4:11" x14ac:dyDescent="0.25">
      <c r="D88"/>
      <c r="E88"/>
      <c r="F88"/>
      <c r="G88"/>
      <c r="H88"/>
      <c r="I88"/>
      <c r="J88"/>
      <c r="K88"/>
    </row>
    <row r="89" spans="4:11" x14ac:dyDescent="0.25">
      <c r="D89"/>
      <c r="E89"/>
      <c r="F89"/>
      <c r="G89"/>
      <c r="H89"/>
      <c r="I89"/>
      <c r="J89"/>
      <c r="K89"/>
    </row>
    <row r="90" spans="4:11" x14ac:dyDescent="0.25">
      <c r="D90"/>
      <c r="E90"/>
      <c r="F90"/>
      <c r="G90"/>
      <c r="H90"/>
      <c r="I90"/>
      <c r="J90"/>
      <c r="K90"/>
    </row>
    <row r="91" spans="4:11" x14ac:dyDescent="0.25">
      <c r="D91"/>
      <c r="E91"/>
      <c r="F91"/>
      <c r="G91"/>
      <c r="H91"/>
      <c r="I91"/>
      <c r="J91"/>
      <c r="K91"/>
    </row>
    <row r="92" spans="4:11" x14ac:dyDescent="0.25">
      <c r="D92"/>
      <c r="E92"/>
      <c r="F92"/>
      <c r="G92"/>
      <c r="H92"/>
      <c r="I92"/>
      <c r="J92"/>
      <c r="K92"/>
    </row>
    <row r="93" spans="4:11" x14ac:dyDescent="0.25">
      <c r="D93"/>
      <c r="E93"/>
      <c r="F93"/>
      <c r="G93"/>
      <c r="H93"/>
      <c r="I93"/>
      <c r="J93"/>
      <c r="K93"/>
    </row>
    <row r="94" spans="4:11" x14ac:dyDescent="0.25">
      <c r="D94"/>
      <c r="E94"/>
      <c r="F94"/>
      <c r="G94"/>
      <c r="H94"/>
      <c r="I94"/>
      <c r="J94"/>
      <c r="K94"/>
    </row>
    <row r="95" spans="4:11" x14ac:dyDescent="0.25">
      <c r="D95"/>
      <c r="E95"/>
      <c r="F95"/>
      <c r="G95"/>
      <c r="H95"/>
      <c r="I95"/>
      <c r="J95"/>
      <c r="K95"/>
    </row>
    <row r="96" spans="4:11" x14ac:dyDescent="0.25">
      <c r="D96"/>
      <c r="E96"/>
      <c r="F96"/>
      <c r="G96"/>
      <c r="H96"/>
      <c r="I96"/>
      <c r="J96"/>
      <c r="K96"/>
    </row>
    <row r="97" spans="4:11" x14ac:dyDescent="0.25">
      <c r="D97"/>
      <c r="E97"/>
      <c r="F97"/>
      <c r="G97"/>
      <c r="H97"/>
      <c r="I97"/>
      <c r="J97"/>
      <c r="K97"/>
    </row>
    <row r="98" spans="4:11" x14ac:dyDescent="0.25">
      <c r="D98"/>
      <c r="E98"/>
      <c r="F98"/>
      <c r="G98"/>
      <c r="H98"/>
      <c r="I98"/>
      <c r="J98"/>
      <c r="K98"/>
    </row>
    <row r="99" spans="4:11" x14ac:dyDescent="0.25">
      <c r="D99"/>
      <c r="E99"/>
      <c r="F99"/>
      <c r="G99"/>
      <c r="H99"/>
      <c r="I99"/>
      <c r="J99"/>
      <c r="K99"/>
    </row>
    <row r="100" spans="4:11" x14ac:dyDescent="0.25">
      <c r="D100"/>
      <c r="E100"/>
      <c r="F100"/>
      <c r="G100"/>
      <c r="H100"/>
      <c r="I100"/>
      <c r="J100"/>
      <c r="K100"/>
    </row>
    <row r="101" spans="4:11" x14ac:dyDescent="0.25">
      <c r="D101"/>
      <c r="E101"/>
      <c r="F101"/>
      <c r="G101"/>
      <c r="H101"/>
      <c r="I101"/>
      <c r="J101"/>
      <c r="K101"/>
    </row>
  </sheetData>
  <mergeCells count="2">
    <mergeCell ref="C4:J4"/>
    <mergeCell ref="C5:J5"/>
  </mergeCells>
  <pageMargins left="0.23622047244094491" right="0.23622047244094491" top="0.35433070866141736" bottom="0.35433070866141736" header="0" footer="0"/>
  <pageSetup paperSize="9" scale="7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1"/>
  <sheetViews>
    <sheetView workbookViewId="0">
      <selection activeCell="H4" sqref="H4 J4"/>
      <pivotSelection pane="bottomRight" showHeader="1" extendable="1" dimension="1" max="1" activeRow="3" activeCol="7" click="1" r:id="rId1">
        <pivotArea dataOnly="0" outline="0" fieldPosition="0">
          <references count="1">
            <reference field="12" count="1">
              <x v="33"/>
            </reference>
          </references>
        </pivotArea>
      </pivotSelection>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56" t="s">
        <v>355</v>
      </c>
      <c r="B1" s="102" t="s">
        <v>674</v>
      </c>
      <c r="G1" s="56" t="s">
        <v>800</v>
      </c>
      <c r="H1" s="102" t="s">
        <v>674</v>
      </c>
    </row>
    <row r="2" spans="1:10" x14ac:dyDescent="0.25">
      <c r="A2" s="56" t="s">
        <v>800</v>
      </c>
      <c r="B2" s="102" t="s">
        <v>674</v>
      </c>
    </row>
    <row r="3" spans="1:10" x14ac:dyDescent="0.25">
      <c r="G3" s="56" t="s">
        <v>9</v>
      </c>
      <c r="H3" s="56" t="s">
        <v>8</v>
      </c>
      <c r="I3" s="56" t="s">
        <v>355</v>
      </c>
      <c r="J3" t="s">
        <v>675</v>
      </c>
    </row>
    <row r="4" spans="1:10" x14ac:dyDescent="0.25">
      <c r="A4" s="56" t="s">
        <v>0</v>
      </c>
      <c r="B4" s="56" t="s">
        <v>9</v>
      </c>
      <c r="C4" t="s">
        <v>673</v>
      </c>
      <c r="G4" s="102" t="s">
        <v>57</v>
      </c>
      <c r="H4" s="102" t="s">
        <v>145</v>
      </c>
      <c r="I4" s="102" t="s">
        <v>358</v>
      </c>
      <c r="J4" s="4">
        <v>251</v>
      </c>
    </row>
    <row r="5" spans="1:10" x14ac:dyDescent="0.25">
      <c r="A5" s="102" t="s">
        <v>17</v>
      </c>
      <c r="B5" s="102" t="s">
        <v>484</v>
      </c>
      <c r="C5" s="4">
        <v>1</v>
      </c>
      <c r="G5" s="102" t="s">
        <v>46</v>
      </c>
      <c r="H5" s="102" t="s">
        <v>133</v>
      </c>
      <c r="I5" s="102" t="s">
        <v>358</v>
      </c>
      <c r="J5" s="4">
        <v>24</v>
      </c>
    </row>
    <row r="6" spans="1:10" x14ac:dyDescent="0.25">
      <c r="A6" s="102" t="s">
        <v>17</v>
      </c>
      <c r="B6" s="102" t="s">
        <v>58</v>
      </c>
      <c r="C6" s="4">
        <v>1</v>
      </c>
      <c r="G6" s="102" t="s">
        <v>49</v>
      </c>
      <c r="H6" s="102" t="s">
        <v>136</v>
      </c>
      <c r="I6" s="102" t="s">
        <v>358</v>
      </c>
      <c r="J6" s="4">
        <v>14</v>
      </c>
    </row>
    <row r="7" spans="1:10" x14ac:dyDescent="0.25">
      <c r="A7" s="102" t="s">
        <v>15</v>
      </c>
      <c r="B7" s="102" t="s">
        <v>46</v>
      </c>
      <c r="C7" s="4">
        <v>1</v>
      </c>
      <c r="G7" s="102" t="s">
        <v>56</v>
      </c>
      <c r="H7" s="102" t="s">
        <v>143</v>
      </c>
      <c r="I7" s="102" t="s">
        <v>358</v>
      </c>
      <c r="J7" s="4">
        <v>32</v>
      </c>
    </row>
    <row r="8" spans="1:10" x14ac:dyDescent="0.25">
      <c r="A8" s="102" t="s">
        <v>15</v>
      </c>
      <c r="B8" s="102" t="s">
        <v>49</v>
      </c>
      <c r="C8" s="4">
        <v>1</v>
      </c>
      <c r="G8" s="102" t="s">
        <v>40</v>
      </c>
      <c r="H8" s="102" t="s">
        <v>127</v>
      </c>
      <c r="I8" s="102" t="s">
        <v>358</v>
      </c>
      <c r="J8" s="4">
        <v>1154</v>
      </c>
    </row>
    <row r="9" spans="1:10" x14ac:dyDescent="0.25">
      <c r="A9" s="102" t="s">
        <v>15</v>
      </c>
      <c r="B9" s="102" t="s">
        <v>48</v>
      </c>
      <c r="C9" s="4">
        <v>1</v>
      </c>
      <c r="G9" s="102" t="s">
        <v>48</v>
      </c>
      <c r="H9" s="102" t="s">
        <v>135</v>
      </c>
      <c r="I9" s="102" t="s">
        <v>358</v>
      </c>
      <c r="J9" s="4">
        <v>92</v>
      </c>
    </row>
    <row r="10" spans="1:10" x14ac:dyDescent="0.25">
      <c r="A10" s="102" t="s">
        <v>15</v>
      </c>
      <c r="B10" s="102" t="s">
        <v>51</v>
      </c>
      <c r="C10" s="4">
        <v>1</v>
      </c>
      <c r="G10" s="102" t="s">
        <v>111</v>
      </c>
      <c r="H10" s="102" t="s">
        <v>200</v>
      </c>
      <c r="I10" s="102" t="s">
        <v>359</v>
      </c>
      <c r="J10" s="4"/>
    </row>
    <row r="11" spans="1:10" x14ac:dyDescent="0.25">
      <c r="A11" s="102" t="s">
        <v>15</v>
      </c>
      <c r="B11" s="102" t="s">
        <v>50</v>
      </c>
      <c r="C11" s="4">
        <v>1</v>
      </c>
      <c r="G11" s="102" t="s">
        <v>91</v>
      </c>
      <c r="H11" s="102" t="s">
        <v>180</v>
      </c>
      <c r="I11" s="102" t="s">
        <v>359</v>
      </c>
      <c r="J11" s="4"/>
    </row>
    <row r="12" spans="1:10" x14ac:dyDescent="0.25">
      <c r="A12" s="102" t="s">
        <v>15</v>
      </c>
      <c r="B12" s="102" t="s">
        <v>54</v>
      </c>
      <c r="C12" s="4">
        <v>1</v>
      </c>
      <c r="G12" s="102" t="s">
        <v>30</v>
      </c>
      <c r="H12" s="102" t="s">
        <v>117</v>
      </c>
      <c r="I12" s="102" t="s">
        <v>358</v>
      </c>
      <c r="J12" s="4">
        <v>86</v>
      </c>
    </row>
    <row r="13" spans="1:10" x14ac:dyDescent="0.25">
      <c r="A13" s="102" t="s">
        <v>15</v>
      </c>
      <c r="B13" s="102" t="s">
        <v>44</v>
      </c>
      <c r="C13" s="4">
        <v>1</v>
      </c>
      <c r="G13" s="102" t="s">
        <v>39</v>
      </c>
      <c r="H13" s="102" t="s">
        <v>126</v>
      </c>
      <c r="I13" s="102" t="s">
        <v>358</v>
      </c>
      <c r="J13" s="4">
        <v>21</v>
      </c>
    </row>
    <row r="14" spans="1:10" x14ac:dyDescent="0.25">
      <c r="A14" s="102" t="s">
        <v>15</v>
      </c>
      <c r="B14" s="102" t="s">
        <v>47</v>
      </c>
      <c r="C14" s="4">
        <v>1</v>
      </c>
      <c r="G14" s="102" t="s">
        <v>61</v>
      </c>
      <c r="H14" s="102" t="s">
        <v>150</v>
      </c>
      <c r="I14" s="102" t="s">
        <v>358</v>
      </c>
      <c r="J14" s="4">
        <v>397</v>
      </c>
    </row>
    <row r="15" spans="1:10" x14ac:dyDescent="0.25">
      <c r="A15" s="102" t="s">
        <v>15</v>
      </c>
      <c r="B15" s="102" t="s">
        <v>53</v>
      </c>
      <c r="C15" s="4">
        <v>1</v>
      </c>
      <c r="G15" s="102" t="s">
        <v>101</v>
      </c>
      <c r="H15" s="102" t="s">
        <v>190</v>
      </c>
      <c r="I15" s="102" t="s">
        <v>359</v>
      </c>
      <c r="J15" s="4"/>
    </row>
    <row r="16" spans="1:10" x14ac:dyDescent="0.25">
      <c r="A16" s="102" t="s">
        <v>15</v>
      </c>
      <c r="B16" s="102" t="s">
        <v>45</v>
      </c>
      <c r="C16" s="4">
        <v>1</v>
      </c>
      <c r="G16" s="102" t="s">
        <v>62</v>
      </c>
      <c r="H16" s="102" t="s">
        <v>151</v>
      </c>
      <c r="I16" s="102" t="s">
        <v>359</v>
      </c>
      <c r="J16" s="4"/>
    </row>
    <row r="17" spans="1:10" x14ac:dyDescent="0.25">
      <c r="A17" s="102" t="s">
        <v>15</v>
      </c>
      <c r="B17" s="102" t="s">
        <v>52</v>
      </c>
      <c r="C17" s="4">
        <v>1</v>
      </c>
      <c r="G17" s="102" t="s">
        <v>569</v>
      </c>
      <c r="H17" s="102" t="s">
        <v>570</v>
      </c>
      <c r="I17" s="102" t="s">
        <v>358</v>
      </c>
      <c r="J17" s="4">
        <v>41</v>
      </c>
    </row>
    <row r="18" spans="1:10" x14ac:dyDescent="0.25">
      <c r="A18" s="102" t="s">
        <v>20</v>
      </c>
      <c r="B18" s="102" t="s">
        <v>111</v>
      </c>
      <c r="C18" s="4">
        <v>1</v>
      </c>
      <c r="G18" s="102" t="s">
        <v>650</v>
      </c>
      <c r="H18" s="102" t="s">
        <v>652</v>
      </c>
      <c r="I18" s="102" t="s">
        <v>358</v>
      </c>
      <c r="J18" s="4">
        <v>997</v>
      </c>
    </row>
    <row r="19" spans="1:10" x14ac:dyDescent="0.25">
      <c r="A19" s="102" t="s">
        <v>20</v>
      </c>
      <c r="B19" s="102" t="s">
        <v>101</v>
      </c>
      <c r="C19" s="4">
        <v>1</v>
      </c>
      <c r="G19" s="102" t="s">
        <v>651</v>
      </c>
      <c r="H19" s="102" t="s">
        <v>653</v>
      </c>
      <c r="I19" s="102" t="s">
        <v>358</v>
      </c>
      <c r="J19" s="4">
        <v>1297</v>
      </c>
    </row>
    <row r="20" spans="1:10" x14ac:dyDescent="0.25">
      <c r="A20" s="102" t="s">
        <v>20</v>
      </c>
      <c r="B20" s="102" t="s">
        <v>106</v>
      </c>
      <c r="C20" s="4">
        <v>1</v>
      </c>
      <c r="G20" s="102" t="s">
        <v>106</v>
      </c>
      <c r="H20" s="102" t="s">
        <v>195</v>
      </c>
      <c r="I20" s="102" t="s">
        <v>358</v>
      </c>
      <c r="J20" s="4">
        <v>16</v>
      </c>
    </row>
    <row r="21" spans="1:10" x14ac:dyDescent="0.25">
      <c r="A21" s="102" t="s">
        <v>20</v>
      </c>
      <c r="B21" s="102" t="s">
        <v>633</v>
      </c>
      <c r="C21" s="4">
        <v>1</v>
      </c>
      <c r="G21" s="102" t="s">
        <v>633</v>
      </c>
      <c r="H21" s="102" t="s">
        <v>637</v>
      </c>
      <c r="I21" s="102" t="s">
        <v>359</v>
      </c>
      <c r="J21" s="4"/>
    </row>
    <row r="22" spans="1:10" x14ac:dyDescent="0.25">
      <c r="A22" s="102" t="s">
        <v>20</v>
      </c>
      <c r="B22" s="102" t="s">
        <v>110</v>
      </c>
      <c r="C22" s="4">
        <v>1</v>
      </c>
      <c r="G22" s="102" t="s">
        <v>73</v>
      </c>
      <c r="H22" s="102" t="s">
        <v>162</v>
      </c>
      <c r="I22" s="102" t="s">
        <v>359</v>
      </c>
      <c r="J22" s="4"/>
    </row>
    <row r="23" spans="1:10" x14ac:dyDescent="0.25">
      <c r="A23" s="102" t="s">
        <v>20</v>
      </c>
      <c r="B23" s="102" t="s">
        <v>636</v>
      </c>
      <c r="C23" s="4">
        <v>1</v>
      </c>
      <c r="G23" s="102" t="s">
        <v>74</v>
      </c>
      <c r="H23" s="102" t="s">
        <v>163</v>
      </c>
      <c r="I23" s="102" t="s">
        <v>359</v>
      </c>
      <c r="J23" s="4"/>
    </row>
    <row r="24" spans="1:10" x14ac:dyDescent="0.25">
      <c r="A24" s="102" t="s">
        <v>20</v>
      </c>
      <c r="B24" s="102" t="s">
        <v>103</v>
      </c>
      <c r="C24" s="4">
        <v>1</v>
      </c>
      <c r="G24" s="102" t="s">
        <v>624</v>
      </c>
      <c r="H24" s="102" t="s">
        <v>144</v>
      </c>
      <c r="I24" s="102" t="s">
        <v>358</v>
      </c>
      <c r="J24" s="4">
        <v>217</v>
      </c>
    </row>
    <row r="25" spans="1:10" x14ac:dyDescent="0.25">
      <c r="A25" s="102" t="s">
        <v>20</v>
      </c>
      <c r="B25" s="102" t="s">
        <v>102</v>
      </c>
      <c r="C25" s="4">
        <v>1</v>
      </c>
      <c r="G25" s="102" t="s">
        <v>81</v>
      </c>
      <c r="H25" s="102" t="s">
        <v>170</v>
      </c>
      <c r="I25" s="102" t="s">
        <v>359</v>
      </c>
      <c r="J25" s="4"/>
    </row>
    <row r="26" spans="1:10" x14ac:dyDescent="0.25">
      <c r="A26" s="102" t="s">
        <v>20</v>
      </c>
      <c r="B26" s="102" t="s">
        <v>100</v>
      </c>
      <c r="C26" s="4">
        <v>1</v>
      </c>
      <c r="G26" s="102" t="s">
        <v>82</v>
      </c>
      <c r="H26" s="102" t="s">
        <v>171</v>
      </c>
      <c r="I26" s="102" t="s">
        <v>359</v>
      </c>
      <c r="J26" s="4"/>
    </row>
    <row r="27" spans="1:10" x14ac:dyDescent="0.25">
      <c r="A27" s="102" t="s">
        <v>20</v>
      </c>
      <c r="B27" s="102" t="s">
        <v>109</v>
      </c>
      <c r="C27" s="4">
        <v>1</v>
      </c>
      <c r="G27" s="102" t="s">
        <v>77</v>
      </c>
      <c r="H27" s="102" t="s">
        <v>166</v>
      </c>
      <c r="I27" s="102" t="s">
        <v>359</v>
      </c>
      <c r="J27" s="4"/>
    </row>
    <row r="28" spans="1:10" x14ac:dyDescent="0.25">
      <c r="A28" s="102" t="s">
        <v>20</v>
      </c>
      <c r="B28" s="102" t="s">
        <v>98</v>
      </c>
      <c r="C28" s="4">
        <v>1</v>
      </c>
      <c r="G28" s="102" t="s">
        <v>63</v>
      </c>
      <c r="H28" s="102" t="s">
        <v>152</v>
      </c>
      <c r="I28" s="102" t="s">
        <v>358</v>
      </c>
      <c r="J28" s="4">
        <v>1397</v>
      </c>
    </row>
    <row r="29" spans="1:10" x14ac:dyDescent="0.25">
      <c r="A29" s="102" t="s">
        <v>20</v>
      </c>
      <c r="B29" s="102" t="s">
        <v>920</v>
      </c>
      <c r="C29" s="4">
        <v>1</v>
      </c>
      <c r="G29" s="102" t="s">
        <v>558</v>
      </c>
      <c r="H29" s="102" t="s">
        <v>559</v>
      </c>
      <c r="I29" s="102" t="s">
        <v>358</v>
      </c>
      <c r="J29" s="4">
        <v>518</v>
      </c>
    </row>
    <row r="30" spans="1:10" x14ac:dyDescent="0.25">
      <c r="A30" s="102" t="s">
        <v>20</v>
      </c>
      <c r="B30" s="102" t="s">
        <v>104</v>
      </c>
      <c r="C30" s="4">
        <v>1</v>
      </c>
      <c r="G30" s="102" t="s">
        <v>79</v>
      </c>
      <c r="H30" s="102" t="s">
        <v>168</v>
      </c>
      <c r="I30" s="102" t="s">
        <v>359</v>
      </c>
      <c r="J30" s="4"/>
    </row>
    <row r="31" spans="1:10" x14ac:dyDescent="0.25">
      <c r="A31" s="102" t="s">
        <v>20</v>
      </c>
      <c r="B31" s="102" t="s">
        <v>921</v>
      </c>
      <c r="C31" s="4">
        <v>1</v>
      </c>
      <c r="G31" s="102" t="s">
        <v>110</v>
      </c>
      <c r="H31" s="102" t="s">
        <v>199</v>
      </c>
      <c r="I31" s="102" t="s">
        <v>358</v>
      </c>
      <c r="J31" s="4">
        <v>48</v>
      </c>
    </row>
    <row r="32" spans="1:10" x14ac:dyDescent="0.25">
      <c r="A32" s="102" t="s">
        <v>20</v>
      </c>
      <c r="B32" s="102" t="s">
        <v>99</v>
      </c>
      <c r="C32" s="4">
        <v>1</v>
      </c>
      <c r="G32" s="102" t="s">
        <v>51</v>
      </c>
      <c r="H32" s="102" t="s">
        <v>138</v>
      </c>
      <c r="I32" s="102" t="s">
        <v>358</v>
      </c>
      <c r="J32" s="4">
        <v>116</v>
      </c>
    </row>
    <row r="33" spans="1:10" x14ac:dyDescent="0.25">
      <c r="A33" s="102" t="s">
        <v>20</v>
      </c>
      <c r="B33" s="102" t="s">
        <v>108</v>
      </c>
      <c r="C33" s="4">
        <v>1</v>
      </c>
      <c r="G33" s="102" t="s">
        <v>95</v>
      </c>
      <c r="H33" s="102" t="s">
        <v>184</v>
      </c>
      <c r="I33" s="102" t="s">
        <v>359</v>
      </c>
      <c r="J33" s="4"/>
    </row>
    <row r="34" spans="1:10" x14ac:dyDescent="0.25">
      <c r="A34" s="102" t="s">
        <v>20</v>
      </c>
      <c r="B34" s="102" t="s">
        <v>922</v>
      </c>
      <c r="C34" s="4">
        <v>1</v>
      </c>
      <c r="G34" s="102" t="s">
        <v>83</v>
      </c>
      <c r="H34" s="102" t="s">
        <v>172</v>
      </c>
      <c r="I34" s="102" t="s">
        <v>359</v>
      </c>
      <c r="J34" s="4"/>
    </row>
    <row r="35" spans="1:10" x14ac:dyDescent="0.25">
      <c r="A35" s="102" t="s">
        <v>20</v>
      </c>
      <c r="B35" s="102" t="s">
        <v>107</v>
      </c>
      <c r="C35" s="4">
        <v>1</v>
      </c>
      <c r="G35" s="102" t="s">
        <v>567</v>
      </c>
      <c r="H35" s="102" t="s">
        <v>568</v>
      </c>
      <c r="I35" s="102" t="s">
        <v>359</v>
      </c>
      <c r="J35" s="4"/>
    </row>
    <row r="36" spans="1:10" x14ac:dyDescent="0.25">
      <c r="A36" s="102" t="s">
        <v>20</v>
      </c>
      <c r="B36" s="102" t="s">
        <v>634</v>
      </c>
      <c r="C36" s="4">
        <v>1</v>
      </c>
      <c r="G36" s="102" t="s">
        <v>71</v>
      </c>
      <c r="H36" s="102" t="s">
        <v>160</v>
      </c>
      <c r="I36" s="102" t="s">
        <v>359</v>
      </c>
      <c r="J36" s="4"/>
    </row>
    <row r="37" spans="1:10" x14ac:dyDescent="0.25">
      <c r="A37" s="102" t="s">
        <v>20</v>
      </c>
      <c r="B37" s="102" t="s">
        <v>635</v>
      </c>
      <c r="C37" s="4">
        <v>1</v>
      </c>
      <c r="G37" s="102" t="s">
        <v>636</v>
      </c>
      <c r="H37" s="102" t="s">
        <v>640</v>
      </c>
      <c r="I37" s="102" t="s">
        <v>358</v>
      </c>
      <c r="J37" s="4">
        <v>59</v>
      </c>
    </row>
    <row r="38" spans="1:10" x14ac:dyDescent="0.25">
      <c r="A38" s="102" t="s">
        <v>11</v>
      </c>
      <c r="B38" s="102" t="s">
        <v>30</v>
      </c>
      <c r="C38" s="4">
        <v>1</v>
      </c>
      <c r="G38" s="102" t="s">
        <v>50</v>
      </c>
      <c r="H38" s="102" t="s">
        <v>137</v>
      </c>
      <c r="I38" s="102" t="s">
        <v>358</v>
      </c>
      <c r="J38" s="4">
        <v>236</v>
      </c>
    </row>
    <row r="39" spans="1:10" x14ac:dyDescent="0.25">
      <c r="A39" s="102" t="s">
        <v>11</v>
      </c>
      <c r="B39" s="102" t="s">
        <v>28</v>
      </c>
      <c r="C39" s="4">
        <v>1</v>
      </c>
      <c r="G39" s="102" t="s">
        <v>484</v>
      </c>
      <c r="H39" s="102" t="s">
        <v>147</v>
      </c>
      <c r="I39" s="102" t="s">
        <v>358</v>
      </c>
      <c r="J39" s="4">
        <v>65</v>
      </c>
    </row>
    <row r="40" spans="1:10" x14ac:dyDescent="0.25">
      <c r="A40" s="102" t="s">
        <v>11</v>
      </c>
      <c r="B40" s="102" t="s">
        <v>25</v>
      </c>
      <c r="C40" s="4">
        <v>1</v>
      </c>
      <c r="G40" s="102" t="s">
        <v>37</v>
      </c>
      <c r="H40" s="102" t="s">
        <v>124</v>
      </c>
      <c r="I40" s="102" t="s">
        <v>358</v>
      </c>
      <c r="J40" s="4">
        <v>42</v>
      </c>
    </row>
    <row r="41" spans="1:10" x14ac:dyDescent="0.25">
      <c r="A41" s="102" t="s">
        <v>11</v>
      </c>
      <c r="B41" s="102" t="s">
        <v>32</v>
      </c>
      <c r="C41" s="4">
        <v>1</v>
      </c>
      <c r="G41" s="102" t="s">
        <v>103</v>
      </c>
      <c r="H41" s="102" t="s">
        <v>192</v>
      </c>
      <c r="I41" s="102" t="s">
        <v>359</v>
      </c>
      <c r="J41" s="4"/>
    </row>
    <row r="42" spans="1:10" x14ac:dyDescent="0.25">
      <c r="A42" s="102" t="s">
        <v>11</v>
      </c>
      <c r="B42" s="102" t="s">
        <v>27</v>
      </c>
      <c r="C42" s="4">
        <v>1</v>
      </c>
      <c r="G42" s="102" t="s">
        <v>93</v>
      </c>
      <c r="H42" s="102" t="s">
        <v>182</v>
      </c>
      <c r="I42" s="102" t="s">
        <v>359</v>
      </c>
      <c r="J42" s="4"/>
    </row>
    <row r="43" spans="1:10" x14ac:dyDescent="0.25">
      <c r="A43" s="102" t="s">
        <v>11</v>
      </c>
      <c r="B43" s="102" t="s">
        <v>574</v>
      </c>
      <c r="C43" s="4">
        <v>1</v>
      </c>
      <c r="G43" s="102" t="s">
        <v>64</v>
      </c>
      <c r="H43" s="102" t="s">
        <v>153</v>
      </c>
      <c r="I43" s="102" t="s">
        <v>358</v>
      </c>
      <c r="J43" s="4">
        <v>799</v>
      </c>
    </row>
    <row r="44" spans="1:10" x14ac:dyDescent="0.25">
      <c r="A44" s="102" t="s">
        <v>11</v>
      </c>
      <c r="B44" s="102" t="s">
        <v>26</v>
      </c>
      <c r="C44" s="4">
        <v>1</v>
      </c>
      <c r="G44" s="102" t="s">
        <v>54</v>
      </c>
      <c r="H44" s="102" t="s">
        <v>141</v>
      </c>
      <c r="I44" s="102" t="s">
        <v>358</v>
      </c>
      <c r="J44" s="4">
        <v>97</v>
      </c>
    </row>
    <row r="45" spans="1:10" x14ac:dyDescent="0.25">
      <c r="A45" s="102" t="s">
        <v>11</v>
      </c>
      <c r="B45" s="102" t="s">
        <v>29</v>
      </c>
      <c r="C45" s="4">
        <v>1</v>
      </c>
      <c r="G45" s="102" t="s">
        <v>102</v>
      </c>
      <c r="H45" s="102" t="s">
        <v>191</v>
      </c>
      <c r="I45" s="102" t="s">
        <v>359</v>
      </c>
      <c r="J45" s="4"/>
    </row>
    <row r="46" spans="1:10" x14ac:dyDescent="0.25">
      <c r="A46" s="102" t="s">
        <v>11</v>
      </c>
      <c r="B46" s="102" t="s">
        <v>31</v>
      </c>
      <c r="C46" s="4">
        <v>1</v>
      </c>
      <c r="G46" s="102" t="s">
        <v>410</v>
      </c>
      <c r="H46" s="102" t="s">
        <v>625</v>
      </c>
      <c r="I46" s="102" t="s">
        <v>358</v>
      </c>
      <c r="J46" s="4">
        <v>193</v>
      </c>
    </row>
    <row r="47" spans="1:10" x14ac:dyDescent="0.25">
      <c r="A47" s="102" t="s">
        <v>12</v>
      </c>
      <c r="B47" s="102" t="s">
        <v>35</v>
      </c>
      <c r="C47" s="4">
        <v>1</v>
      </c>
      <c r="G47" s="102" t="s">
        <v>100</v>
      </c>
      <c r="H47" s="102" t="s">
        <v>189</v>
      </c>
      <c r="I47" s="102" t="s">
        <v>359</v>
      </c>
      <c r="J47" s="4"/>
    </row>
    <row r="48" spans="1:10" x14ac:dyDescent="0.25">
      <c r="A48" s="102" t="s">
        <v>12</v>
      </c>
      <c r="B48" s="102" t="s">
        <v>33</v>
      </c>
      <c r="C48" s="4">
        <v>1</v>
      </c>
      <c r="G48" s="102" t="s">
        <v>58</v>
      </c>
      <c r="H48" s="102" t="s">
        <v>146</v>
      </c>
      <c r="I48" s="102" t="s">
        <v>358</v>
      </c>
      <c r="J48" s="4">
        <v>427</v>
      </c>
    </row>
    <row r="49" spans="1:10" x14ac:dyDescent="0.25">
      <c r="A49" s="102" t="s">
        <v>12</v>
      </c>
      <c r="B49" s="102" t="s">
        <v>36</v>
      </c>
      <c r="C49" s="4">
        <v>1</v>
      </c>
      <c r="G49" s="102" t="s">
        <v>42</v>
      </c>
      <c r="H49" s="102" t="s">
        <v>129</v>
      </c>
      <c r="I49" s="102" t="s">
        <v>358</v>
      </c>
      <c r="J49" s="4">
        <v>1152</v>
      </c>
    </row>
    <row r="50" spans="1:10" x14ac:dyDescent="0.25">
      <c r="A50" s="102" t="s">
        <v>12</v>
      </c>
      <c r="B50" s="102" t="s">
        <v>646</v>
      </c>
      <c r="C50" s="4">
        <v>1</v>
      </c>
      <c r="G50" s="102" t="s">
        <v>109</v>
      </c>
      <c r="H50" s="102" t="s">
        <v>198</v>
      </c>
      <c r="I50" s="102" t="s">
        <v>359</v>
      </c>
      <c r="J50" s="4"/>
    </row>
    <row r="51" spans="1:10" x14ac:dyDescent="0.25">
      <c r="A51" s="102" t="s">
        <v>12</v>
      </c>
      <c r="B51" s="102" t="s">
        <v>34</v>
      </c>
      <c r="C51" s="4">
        <v>1</v>
      </c>
      <c r="G51" s="102" t="s">
        <v>84</v>
      </c>
      <c r="H51" s="102" t="s">
        <v>173</v>
      </c>
      <c r="I51" s="102" t="s">
        <v>359</v>
      </c>
      <c r="J51" s="4"/>
    </row>
    <row r="52" spans="1:10" x14ac:dyDescent="0.25">
      <c r="A52" s="102" t="s">
        <v>915</v>
      </c>
      <c r="B52" s="102" t="s">
        <v>37</v>
      </c>
      <c r="C52" s="4">
        <v>1</v>
      </c>
      <c r="G52" s="102" t="s">
        <v>44</v>
      </c>
      <c r="H52" s="102" t="s">
        <v>131</v>
      </c>
      <c r="I52" s="102" t="s">
        <v>358</v>
      </c>
      <c r="J52" s="4">
        <v>18</v>
      </c>
    </row>
    <row r="53" spans="1:10" x14ac:dyDescent="0.25">
      <c r="A53" s="102" t="s">
        <v>915</v>
      </c>
      <c r="B53" s="102" t="s">
        <v>38</v>
      </c>
      <c r="C53" s="4">
        <v>1</v>
      </c>
      <c r="G53" s="102" t="s">
        <v>75</v>
      </c>
      <c r="H53" s="102" t="s">
        <v>164</v>
      </c>
      <c r="I53" s="102" t="s">
        <v>359</v>
      </c>
      <c r="J53" s="4"/>
    </row>
    <row r="54" spans="1:10" x14ac:dyDescent="0.25">
      <c r="A54" s="102" t="s">
        <v>14</v>
      </c>
      <c r="B54" s="102" t="s">
        <v>40</v>
      </c>
      <c r="C54" s="4">
        <v>1</v>
      </c>
      <c r="G54" s="102" t="s">
        <v>94</v>
      </c>
      <c r="H54" s="102" t="s">
        <v>183</v>
      </c>
      <c r="I54" s="102" t="s">
        <v>359</v>
      </c>
      <c r="J54" s="4"/>
    </row>
    <row r="55" spans="1:10" x14ac:dyDescent="0.25">
      <c r="A55" s="102" t="s">
        <v>14</v>
      </c>
      <c r="B55" s="102" t="s">
        <v>39</v>
      </c>
      <c r="C55" s="4">
        <v>1</v>
      </c>
      <c r="G55" s="102" t="s">
        <v>649</v>
      </c>
      <c r="H55" s="102" t="s">
        <v>284</v>
      </c>
      <c r="I55" s="102" t="s">
        <v>358</v>
      </c>
      <c r="J55" s="4">
        <v>624</v>
      </c>
    </row>
    <row r="56" spans="1:10" x14ac:dyDescent="0.25">
      <c r="A56" s="102" t="s">
        <v>14</v>
      </c>
      <c r="B56" s="102" t="s">
        <v>42</v>
      </c>
      <c r="C56" s="4">
        <v>1</v>
      </c>
      <c r="G56" s="102" t="s">
        <v>98</v>
      </c>
      <c r="H56" s="102" t="s">
        <v>187</v>
      </c>
      <c r="I56" s="102" t="s">
        <v>359</v>
      </c>
      <c r="J56" s="4"/>
    </row>
    <row r="57" spans="1:10" x14ac:dyDescent="0.25">
      <c r="A57" s="102" t="s">
        <v>14</v>
      </c>
      <c r="B57" s="102" t="s">
        <v>41</v>
      </c>
      <c r="C57" s="4">
        <v>1</v>
      </c>
      <c r="G57" s="102" t="s">
        <v>76</v>
      </c>
      <c r="H57" s="102" t="s">
        <v>165</v>
      </c>
      <c r="I57" s="102" t="s">
        <v>359</v>
      </c>
      <c r="J57" s="4"/>
    </row>
    <row r="58" spans="1:10" x14ac:dyDescent="0.25">
      <c r="A58" s="102" t="s">
        <v>14</v>
      </c>
      <c r="B58" s="102" t="s">
        <v>43</v>
      </c>
      <c r="C58" s="4">
        <v>1</v>
      </c>
      <c r="G58" s="102" t="s">
        <v>35</v>
      </c>
      <c r="H58" s="102" t="s">
        <v>122</v>
      </c>
      <c r="I58" s="102" t="s">
        <v>359</v>
      </c>
      <c r="J58" s="4"/>
    </row>
    <row r="59" spans="1:10" x14ac:dyDescent="0.25">
      <c r="A59" s="102" t="s">
        <v>14</v>
      </c>
      <c r="B59" s="102" t="s">
        <v>557</v>
      </c>
      <c r="C59" s="4">
        <v>1</v>
      </c>
      <c r="G59" s="102" t="s">
        <v>85</v>
      </c>
      <c r="H59" s="102" t="s">
        <v>174</v>
      </c>
      <c r="I59" s="102" t="s">
        <v>359</v>
      </c>
      <c r="J59" s="4"/>
    </row>
    <row r="60" spans="1:10" x14ac:dyDescent="0.25">
      <c r="A60" s="102" t="s">
        <v>18</v>
      </c>
      <c r="B60" s="102" t="s">
        <v>60</v>
      </c>
      <c r="C60" s="4">
        <v>1</v>
      </c>
      <c r="G60" s="102" t="s">
        <v>920</v>
      </c>
      <c r="H60" s="102" t="s">
        <v>194</v>
      </c>
      <c r="I60" s="102" t="s">
        <v>358</v>
      </c>
      <c r="J60" s="4">
        <v>20</v>
      </c>
    </row>
    <row r="61" spans="1:10" x14ac:dyDescent="0.25">
      <c r="A61" s="102" t="s">
        <v>18</v>
      </c>
      <c r="B61" s="102" t="s">
        <v>59</v>
      </c>
      <c r="C61" s="4">
        <v>1</v>
      </c>
      <c r="G61" s="102" t="s">
        <v>28</v>
      </c>
      <c r="H61" s="102" t="s">
        <v>115</v>
      </c>
      <c r="I61" s="102" t="s">
        <v>359</v>
      </c>
      <c r="J61" s="4"/>
    </row>
    <row r="62" spans="1:10" x14ac:dyDescent="0.25">
      <c r="A62" s="102" t="s">
        <v>16</v>
      </c>
      <c r="B62" s="102" t="s">
        <v>57</v>
      </c>
      <c r="C62" s="4">
        <v>1</v>
      </c>
      <c r="G62" s="102" t="s">
        <v>41</v>
      </c>
      <c r="H62" s="102" t="s">
        <v>128</v>
      </c>
      <c r="I62" s="102" t="s">
        <v>358</v>
      </c>
      <c r="J62" s="4">
        <v>1563</v>
      </c>
    </row>
    <row r="63" spans="1:10" x14ac:dyDescent="0.25">
      <c r="A63" s="102" t="s">
        <v>16</v>
      </c>
      <c r="B63" s="102" t="s">
        <v>56</v>
      </c>
      <c r="C63" s="4">
        <v>1</v>
      </c>
      <c r="G63" s="102" t="s">
        <v>47</v>
      </c>
      <c r="H63" s="102" t="s">
        <v>134</v>
      </c>
      <c r="I63" s="102" t="s">
        <v>358</v>
      </c>
      <c r="J63" s="4">
        <v>85</v>
      </c>
    </row>
    <row r="64" spans="1:10" x14ac:dyDescent="0.25">
      <c r="A64" s="102" t="s">
        <v>16</v>
      </c>
      <c r="B64" s="102" t="s">
        <v>624</v>
      </c>
      <c r="C64" s="4">
        <v>1</v>
      </c>
      <c r="G64" s="102" t="s">
        <v>55</v>
      </c>
      <c r="H64" s="102" t="s">
        <v>142</v>
      </c>
      <c r="I64" s="102" t="s">
        <v>358</v>
      </c>
      <c r="J64" s="4">
        <v>54</v>
      </c>
    </row>
    <row r="65" spans="1:10" x14ac:dyDescent="0.25">
      <c r="A65" s="102" t="s">
        <v>16</v>
      </c>
      <c r="B65" s="102" t="s">
        <v>410</v>
      </c>
      <c r="C65" s="4">
        <v>1</v>
      </c>
      <c r="G65" s="102" t="s">
        <v>104</v>
      </c>
      <c r="H65" s="102" t="s">
        <v>193</v>
      </c>
      <c r="I65" s="102" t="s">
        <v>358</v>
      </c>
      <c r="J65" s="4">
        <v>6</v>
      </c>
    </row>
    <row r="66" spans="1:10" x14ac:dyDescent="0.25">
      <c r="A66" s="102" t="s">
        <v>16</v>
      </c>
      <c r="B66" s="102" t="s">
        <v>55</v>
      </c>
      <c r="C66" s="4">
        <v>1</v>
      </c>
      <c r="G66" s="102" t="s">
        <v>654</v>
      </c>
      <c r="H66" s="102" t="s">
        <v>561</v>
      </c>
      <c r="I66" s="102" t="s">
        <v>358</v>
      </c>
      <c r="J66" s="4">
        <v>649</v>
      </c>
    </row>
    <row r="67" spans="1:10" x14ac:dyDescent="0.25">
      <c r="A67" s="102" t="s">
        <v>19</v>
      </c>
      <c r="B67" s="102" t="s">
        <v>91</v>
      </c>
      <c r="C67" s="4">
        <v>1</v>
      </c>
      <c r="G67" s="102" t="s">
        <v>655</v>
      </c>
      <c r="H67" s="102" t="s">
        <v>657</v>
      </c>
      <c r="I67" s="102" t="s">
        <v>358</v>
      </c>
      <c r="J67" s="4">
        <v>2629</v>
      </c>
    </row>
    <row r="68" spans="1:10" x14ac:dyDescent="0.25">
      <c r="A68" s="102" t="s">
        <v>19</v>
      </c>
      <c r="B68" s="102" t="s">
        <v>61</v>
      </c>
      <c r="C68" s="4">
        <v>1</v>
      </c>
      <c r="G68" s="102" t="s">
        <v>656</v>
      </c>
      <c r="H68" s="102" t="s">
        <v>658</v>
      </c>
      <c r="I68" s="102" t="s">
        <v>358</v>
      </c>
      <c r="J68" s="4">
        <v>2243</v>
      </c>
    </row>
    <row r="69" spans="1:10" x14ac:dyDescent="0.25">
      <c r="A69" s="102" t="s">
        <v>19</v>
      </c>
      <c r="B69" s="102" t="s">
        <v>62</v>
      </c>
      <c r="C69" s="4">
        <v>1</v>
      </c>
      <c r="G69" s="102" t="s">
        <v>65</v>
      </c>
      <c r="H69" s="102" t="s">
        <v>154</v>
      </c>
      <c r="I69" s="102" t="s">
        <v>359</v>
      </c>
      <c r="J69" s="4"/>
    </row>
    <row r="70" spans="1:10" x14ac:dyDescent="0.25">
      <c r="A70" s="102" t="s">
        <v>19</v>
      </c>
      <c r="B70" s="102" t="s">
        <v>569</v>
      </c>
      <c r="C70" s="4">
        <v>1</v>
      </c>
      <c r="G70" s="102" t="s">
        <v>247</v>
      </c>
      <c r="H70" s="102" t="s">
        <v>282</v>
      </c>
      <c r="I70" s="102" t="s">
        <v>359</v>
      </c>
      <c r="J70" s="4"/>
    </row>
    <row r="71" spans="1:10" x14ac:dyDescent="0.25">
      <c r="A71" s="102" t="s">
        <v>19</v>
      </c>
      <c r="B71" s="102" t="s">
        <v>650</v>
      </c>
      <c r="C71" s="4">
        <v>1</v>
      </c>
      <c r="G71" s="102" t="s">
        <v>278</v>
      </c>
      <c r="H71" s="102" t="s">
        <v>562</v>
      </c>
      <c r="I71" s="102" t="s">
        <v>359</v>
      </c>
      <c r="J71" s="4"/>
    </row>
    <row r="72" spans="1:10" x14ac:dyDescent="0.25">
      <c r="A72" s="102" t="s">
        <v>19</v>
      </c>
      <c r="B72" s="102" t="s">
        <v>651</v>
      </c>
      <c r="C72" s="4">
        <v>1</v>
      </c>
      <c r="G72" s="102" t="s">
        <v>279</v>
      </c>
      <c r="H72" s="102" t="s">
        <v>564</v>
      </c>
      <c r="I72" s="102" t="s">
        <v>359</v>
      </c>
      <c r="J72" s="4"/>
    </row>
    <row r="73" spans="1:10" x14ac:dyDescent="0.25">
      <c r="A73" s="102" t="s">
        <v>19</v>
      </c>
      <c r="B73" s="102" t="s">
        <v>73</v>
      </c>
      <c r="C73" s="4">
        <v>1</v>
      </c>
      <c r="G73" s="102" t="s">
        <v>72</v>
      </c>
      <c r="H73" s="102" t="s">
        <v>161</v>
      </c>
      <c r="I73" s="102" t="s">
        <v>359</v>
      </c>
      <c r="J73" s="4"/>
    </row>
    <row r="74" spans="1:10" x14ac:dyDescent="0.25">
      <c r="A74" s="102" t="s">
        <v>19</v>
      </c>
      <c r="B74" s="102" t="s">
        <v>74</v>
      </c>
      <c r="C74" s="4">
        <v>1</v>
      </c>
      <c r="G74" s="102" t="s">
        <v>33</v>
      </c>
      <c r="H74" s="102" t="s">
        <v>120</v>
      </c>
      <c r="I74" s="102" t="s">
        <v>358</v>
      </c>
      <c r="J74" s="4">
        <v>204</v>
      </c>
    </row>
    <row r="75" spans="1:10" x14ac:dyDescent="0.25">
      <c r="A75" s="102" t="s">
        <v>19</v>
      </c>
      <c r="B75" s="102" t="s">
        <v>81</v>
      </c>
      <c r="C75" s="4">
        <v>1</v>
      </c>
      <c r="G75" s="102" t="s">
        <v>25</v>
      </c>
      <c r="H75" s="102" t="s">
        <v>112</v>
      </c>
      <c r="I75" s="102" t="s">
        <v>358</v>
      </c>
      <c r="J75" s="4">
        <v>19</v>
      </c>
    </row>
    <row r="76" spans="1:10" x14ac:dyDescent="0.25">
      <c r="A76" s="102" t="s">
        <v>19</v>
      </c>
      <c r="B76" s="102" t="s">
        <v>82</v>
      </c>
      <c r="C76" s="4">
        <v>1</v>
      </c>
      <c r="G76" s="102" t="s">
        <v>66</v>
      </c>
      <c r="H76" s="102" t="s">
        <v>155</v>
      </c>
      <c r="I76" s="102" t="s">
        <v>359</v>
      </c>
      <c r="J76" s="4"/>
    </row>
    <row r="77" spans="1:10" x14ac:dyDescent="0.25">
      <c r="A77" s="102" t="s">
        <v>19</v>
      </c>
      <c r="B77" s="102" t="s">
        <v>77</v>
      </c>
      <c r="C77" s="4">
        <v>1</v>
      </c>
      <c r="G77" s="102" t="s">
        <v>86</v>
      </c>
      <c r="H77" s="102" t="s">
        <v>175</v>
      </c>
      <c r="I77" s="102" t="s">
        <v>359</v>
      </c>
      <c r="J77" s="4"/>
    </row>
    <row r="78" spans="1:10" x14ac:dyDescent="0.25">
      <c r="A78" s="102" t="s">
        <v>19</v>
      </c>
      <c r="B78" s="102" t="s">
        <v>63</v>
      </c>
      <c r="C78" s="4">
        <v>1</v>
      </c>
      <c r="G78" s="102" t="s">
        <v>60</v>
      </c>
      <c r="H78" s="102" t="s">
        <v>149</v>
      </c>
      <c r="I78" s="102" t="s">
        <v>358</v>
      </c>
      <c r="J78" s="4">
        <v>18</v>
      </c>
    </row>
    <row r="79" spans="1:10" x14ac:dyDescent="0.25">
      <c r="A79" s="102" t="s">
        <v>19</v>
      </c>
      <c r="B79" s="102" t="s">
        <v>558</v>
      </c>
      <c r="C79" s="4">
        <v>1</v>
      </c>
      <c r="G79" s="102" t="s">
        <v>59</v>
      </c>
      <c r="H79" s="102" t="s">
        <v>148</v>
      </c>
      <c r="I79" s="102" t="s">
        <v>358</v>
      </c>
      <c r="J79" s="4">
        <v>60</v>
      </c>
    </row>
    <row r="80" spans="1:10" x14ac:dyDescent="0.25">
      <c r="A80" s="102" t="s">
        <v>19</v>
      </c>
      <c r="B80" s="102" t="s">
        <v>79</v>
      </c>
      <c r="C80" s="4">
        <v>1</v>
      </c>
      <c r="G80" s="102" t="s">
        <v>36</v>
      </c>
      <c r="H80" s="102" t="s">
        <v>123</v>
      </c>
      <c r="I80" s="102" t="s">
        <v>358</v>
      </c>
      <c r="J80" s="4">
        <v>10</v>
      </c>
    </row>
    <row r="81" spans="1:10" x14ac:dyDescent="0.25">
      <c r="A81" s="102" t="s">
        <v>19</v>
      </c>
      <c r="B81" s="102" t="s">
        <v>95</v>
      </c>
      <c r="C81" s="4">
        <v>1</v>
      </c>
      <c r="G81" s="102" t="s">
        <v>32</v>
      </c>
      <c r="H81" s="102" t="s">
        <v>119</v>
      </c>
      <c r="I81" s="102" t="s">
        <v>358</v>
      </c>
      <c r="J81" s="4">
        <v>225</v>
      </c>
    </row>
    <row r="82" spans="1:10" x14ac:dyDescent="0.25">
      <c r="A82" s="102" t="s">
        <v>19</v>
      </c>
      <c r="B82" s="102" t="s">
        <v>83</v>
      </c>
      <c r="C82" s="4">
        <v>1</v>
      </c>
      <c r="G82" s="102" t="s">
        <v>27</v>
      </c>
      <c r="H82" s="102" t="s">
        <v>114</v>
      </c>
      <c r="I82" s="102" t="s">
        <v>358</v>
      </c>
      <c r="J82" s="4">
        <v>86</v>
      </c>
    </row>
    <row r="83" spans="1:10" x14ac:dyDescent="0.25">
      <c r="A83" s="102" t="s">
        <v>19</v>
      </c>
      <c r="B83" s="102" t="s">
        <v>567</v>
      </c>
      <c r="C83" s="4">
        <v>1</v>
      </c>
      <c r="G83" s="102" t="s">
        <v>579</v>
      </c>
      <c r="H83" s="102" t="s">
        <v>580</v>
      </c>
      <c r="I83" s="102" t="s">
        <v>359</v>
      </c>
      <c r="J83" s="4"/>
    </row>
    <row r="84" spans="1:10" x14ac:dyDescent="0.25">
      <c r="A84" s="102" t="s">
        <v>19</v>
      </c>
      <c r="B84" s="102" t="s">
        <v>71</v>
      </c>
      <c r="C84" s="4">
        <v>1</v>
      </c>
      <c r="G84" s="102" t="s">
        <v>659</v>
      </c>
      <c r="H84" s="102" t="s">
        <v>661</v>
      </c>
      <c r="I84" s="102" t="s">
        <v>358</v>
      </c>
      <c r="J84" s="4">
        <v>249</v>
      </c>
    </row>
    <row r="85" spans="1:10" x14ac:dyDescent="0.25">
      <c r="A85" s="102" t="s">
        <v>19</v>
      </c>
      <c r="B85" s="102" t="s">
        <v>93</v>
      </c>
      <c r="C85" s="4">
        <v>1</v>
      </c>
      <c r="G85" s="102" t="s">
        <v>660</v>
      </c>
      <c r="H85" s="102" t="s">
        <v>662</v>
      </c>
      <c r="I85" s="102" t="s">
        <v>358</v>
      </c>
      <c r="J85" s="4">
        <v>418</v>
      </c>
    </row>
    <row r="86" spans="1:10" x14ac:dyDescent="0.25">
      <c r="A86" s="102" t="s">
        <v>19</v>
      </c>
      <c r="B86" s="102" t="s">
        <v>64</v>
      </c>
      <c r="C86" s="4">
        <v>1</v>
      </c>
      <c r="G86" s="102" t="s">
        <v>67</v>
      </c>
      <c r="H86" s="102" t="s">
        <v>156</v>
      </c>
      <c r="I86" s="102" t="s">
        <v>358</v>
      </c>
      <c r="J86" s="4">
        <v>2436</v>
      </c>
    </row>
    <row r="87" spans="1:10" x14ac:dyDescent="0.25">
      <c r="A87" s="102" t="s">
        <v>19</v>
      </c>
      <c r="B87" s="102" t="s">
        <v>84</v>
      </c>
      <c r="C87" s="4">
        <v>1</v>
      </c>
      <c r="G87" s="102" t="s">
        <v>574</v>
      </c>
      <c r="H87" s="102" t="s">
        <v>575</v>
      </c>
      <c r="I87" s="102" t="s">
        <v>358</v>
      </c>
      <c r="J87" s="4">
        <v>17</v>
      </c>
    </row>
    <row r="88" spans="1:10" x14ac:dyDescent="0.25">
      <c r="A88" s="102" t="s">
        <v>19</v>
      </c>
      <c r="B88" s="102" t="s">
        <v>75</v>
      </c>
      <c r="C88" s="4">
        <v>1</v>
      </c>
      <c r="G88" s="102" t="s">
        <v>78</v>
      </c>
      <c r="H88" s="102" t="s">
        <v>167</v>
      </c>
      <c r="I88" s="102" t="s">
        <v>358</v>
      </c>
      <c r="J88" s="4">
        <v>72</v>
      </c>
    </row>
    <row r="89" spans="1:10" x14ac:dyDescent="0.25">
      <c r="A89" s="102" t="s">
        <v>19</v>
      </c>
      <c r="B89" s="102" t="s">
        <v>94</v>
      </c>
      <c r="C89" s="4">
        <v>1</v>
      </c>
      <c r="G89" s="102" t="s">
        <v>248</v>
      </c>
      <c r="H89" s="102" t="s">
        <v>285</v>
      </c>
      <c r="I89" s="102" t="s">
        <v>358</v>
      </c>
      <c r="J89" s="4">
        <v>151</v>
      </c>
    </row>
    <row r="90" spans="1:10" x14ac:dyDescent="0.25">
      <c r="A90" s="102" t="s">
        <v>19</v>
      </c>
      <c r="B90" s="102" t="s">
        <v>649</v>
      </c>
      <c r="C90" s="4">
        <v>1</v>
      </c>
      <c r="G90" s="102" t="s">
        <v>53</v>
      </c>
      <c r="H90" s="102" t="s">
        <v>140</v>
      </c>
      <c r="I90" s="102" t="s">
        <v>358</v>
      </c>
      <c r="J90" s="4">
        <v>144</v>
      </c>
    </row>
    <row r="91" spans="1:10" x14ac:dyDescent="0.25">
      <c r="A91" s="102" t="s">
        <v>19</v>
      </c>
      <c r="B91" s="102" t="s">
        <v>76</v>
      </c>
      <c r="C91" s="4">
        <v>1</v>
      </c>
      <c r="G91" s="102" t="s">
        <v>87</v>
      </c>
      <c r="H91" s="102" t="s">
        <v>176</v>
      </c>
      <c r="I91" s="102" t="s">
        <v>359</v>
      </c>
      <c r="J91" s="4"/>
    </row>
    <row r="92" spans="1:10" x14ac:dyDescent="0.25">
      <c r="A92" s="102" t="s">
        <v>19</v>
      </c>
      <c r="B92" s="102" t="s">
        <v>85</v>
      </c>
      <c r="C92" s="4">
        <v>1</v>
      </c>
      <c r="G92" s="102" t="s">
        <v>90</v>
      </c>
      <c r="H92" s="102" t="s">
        <v>179</v>
      </c>
      <c r="I92" s="102" t="s">
        <v>359</v>
      </c>
      <c r="J92" s="4"/>
    </row>
    <row r="93" spans="1:10" x14ac:dyDescent="0.25">
      <c r="A93" s="102" t="s">
        <v>19</v>
      </c>
      <c r="B93" s="102" t="s">
        <v>654</v>
      </c>
      <c r="C93" s="4">
        <v>1</v>
      </c>
      <c r="G93" s="102" t="s">
        <v>43</v>
      </c>
      <c r="H93" s="102" t="s">
        <v>130</v>
      </c>
      <c r="I93" s="102" t="s">
        <v>358</v>
      </c>
      <c r="J93" s="4">
        <v>794</v>
      </c>
    </row>
    <row r="94" spans="1:10" x14ac:dyDescent="0.25">
      <c r="A94" s="102" t="s">
        <v>19</v>
      </c>
      <c r="B94" s="102" t="s">
        <v>655</v>
      </c>
      <c r="C94" s="4">
        <v>1</v>
      </c>
      <c r="G94" s="102" t="s">
        <v>557</v>
      </c>
      <c r="H94" s="102" t="s">
        <v>281</v>
      </c>
      <c r="I94" s="102" t="s">
        <v>359</v>
      </c>
      <c r="J94" s="4"/>
    </row>
    <row r="95" spans="1:10" x14ac:dyDescent="0.25">
      <c r="A95" s="102" t="s">
        <v>19</v>
      </c>
      <c r="B95" s="102" t="s">
        <v>656</v>
      </c>
      <c r="C95" s="4">
        <v>1</v>
      </c>
      <c r="G95" s="102" t="s">
        <v>921</v>
      </c>
      <c r="H95" s="102" t="s">
        <v>286</v>
      </c>
      <c r="I95" s="102" t="s">
        <v>358</v>
      </c>
      <c r="J95" s="4">
        <v>8</v>
      </c>
    </row>
    <row r="96" spans="1:10" x14ac:dyDescent="0.25">
      <c r="A96" s="102" t="s">
        <v>19</v>
      </c>
      <c r="B96" s="102" t="s">
        <v>65</v>
      </c>
      <c r="C96" s="4">
        <v>1</v>
      </c>
      <c r="G96" s="102" t="s">
        <v>88</v>
      </c>
      <c r="H96" s="102" t="s">
        <v>177</v>
      </c>
      <c r="I96" s="102" t="s">
        <v>359</v>
      </c>
      <c r="J96" s="4"/>
    </row>
    <row r="97" spans="1:10" x14ac:dyDescent="0.25">
      <c r="A97" s="102" t="s">
        <v>19</v>
      </c>
      <c r="B97" s="102" t="s">
        <v>247</v>
      </c>
      <c r="C97" s="4">
        <v>1</v>
      </c>
      <c r="G97" s="102" t="s">
        <v>45</v>
      </c>
      <c r="H97" s="102" t="s">
        <v>132</v>
      </c>
      <c r="I97" s="102" t="s">
        <v>358</v>
      </c>
      <c r="J97" s="4">
        <v>63</v>
      </c>
    </row>
    <row r="98" spans="1:10" x14ac:dyDescent="0.25">
      <c r="A98" s="102" t="s">
        <v>19</v>
      </c>
      <c r="B98" s="102" t="s">
        <v>278</v>
      </c>
      <c r="C98" s="4">
        <v>1</v>
      </c>
      <c r="G98" s="102" t="s">
        <v>38</v>
      </c>
      <c r="H98" s="102" t="s">
        <v>125</v>
      </c>
      <c r="I98" s="102" t="s">
        <v>358</v>
      </c>
      <c r="J98" s="4">
        <v>682</v>
      </c>
    </row>
    <row r="99" spans="1:10" x14ac:dyDescent="0.25">
      <c r="A99" s="102" t="s">
        <v>19</v>
      </c>
      <c r="B99" s="102" t="s">
        <v>279</v>
      </c>
      <c r="C99" s="4">
        <v>1</v>
      </c>
      <c r="G99" s="102" t="s">
        <v>26</v>
      </c>
      <c r="H99" s="102" t="s">
        <v>113</v>
      </c>
      <c r="I99" s="102" t="s">
        <v>358</v>
      </c>
      <c r="J99" s="4">
        <v>203</v>
      </c>
    </row>
    <row r="100" spans="1:10" x14ac:dyDescent="0.25">
      <c r="A100" s="102" t="s">
        <v>19</v>
      </c>
      <c r="B100" s="102" t="s">
        <v>72</v>
      </c>
      <c r="C100" s="4">
        <v>1</v>
      </c>
      <c r="G100" s="102" t="s">
        <v>99</v>
      </c>
      <c r="H100" s="102" t="s">
        <v>188</v>
      </c>
      <c r="I100" s="102" t="s">
        <v>359</v>
      </c>
      <c r="J100" s="4"/>
    </row>
    <row r="101" spans="1:10" x14ac:dyDescent="0.25">
      <c r="A101" s="102" t="s">
        <v>19</v>
      </c>
      <c r="B101" s="102" t="s">
        <v>66</v>
      </c>
      <c r="C101" s="4">
        <v>1</v>
      </c>
      <c r="G101" s="102" t="s">
        <v>29</v>
      </c>
      <c r="H101" s="102" t="s">
        <v>116</v>
      </c>
      <c r="I101" s="102" t="s">
        <v>358</v>
      </c>
      <c r="J101" s="4">
        <v>275</v>
      </c>
    </row>
    <row r="102" spans="1:10" x14ac:dyDescent="0.25">
      <c r="A102" s="102" t="s">
        <v>19</v>
      </c>
      <c r="B102" s="102" t="s">
        <v>86</v>
      </c>
      <c r="C102" s="4">
        <v>1</v>
      </c>
      <c r="G102" s="102" t="s">
        <v>68</v>
      </c>
      <c r="H102" s="102" t="s">
        <v>157</v>
      </c>
      <c r="I102" s="102" t="s">
        <v>358</v>
      </c>
      <c r="J102" s="4">
        <v>2145</v>
      </c>
    </row>
    <row r="103" spans="1:10" x14ac:dyDescent="0.25">
      <c r="A103" s="102" t="s">
        <v>19</v>
      </c>
      <c r="B103" s="102" t="s">
        <v>579</v>
      </c>
      <c r="C103" s="4">
        <v>1</v>
      </c>
      <c r="G103" s="102" t="s">
        <v>565</v>
      </c>
      <c r="H103" s="102" t="s">
        <v>566</v>
      </c>
      <c r="I103" s="102" t="s">
        <v>359</v>
      </c>
      <c r="J103" s="4"/>
    </row>
    <row r="104" spans="1:10" x14ac:dyDescent="0.25">
      <c r="A104" s="102" t="s">
        <v>19</v>
      </c>
      <c r="B104" s="102" t="s">
        <v>659</v>
      </c>
      <c r="C104" s="4">
        <v>1</v>
      </c>
      <c r="G104" s="102" t="s">
        <v>69</v>
      </c>
      <c r="H104" s="102" t="s">
        <v>158</v>
      </c>
      <c r="I104" s="102" t="s">
        <v>359</v>
      </c>
      <c r="J104" s="4"/>
    </row>
    <row r="105" spans="1:10" x14ac:dyDescent="0.25">
      <c r="A105" s="102" t="s">
        <v>19</v>
      </c>
      <c r="B105" s="102" t="s">
        <v>660</v>
      </c>
      <c r="C105" s="4">
        <v>1</v>
      </c>
      <c r="G105" s="102" t="s">
        <v>92</v>
      </c>
      <c r="H105" s="102" t="s">
        <v>181</v>
      </c>
      <c r="I105" s="102" t="s">
        <v>359</v>
      </c>
      <c r="J105" s="4"/>
    </row>
    <row r="106" spans="1:10" x14ac:dyDescent="0.25">
      <c r="A106" s="102" t="s">
        <v>19</v>
      </c>
      <c r="B106" s="102" t="s">
        <v>67</v>
      </c>
      <c r="C106" s="4">
        <v>1</v>
      </c>
      <c r="G106" s="102" t="s">
        <v>108</v>
      </c>
      <c r="H106" s="102" t="s">
        <v>197</v>
      </c>
      <c r="I106" s="102" t="s">
        <v>358</v>
      </c>
      <c r="J106" s="4">
        <v>5</v>
      </c>
    </row>
    <row r="107" spans="1:10" x14ac:dyDescent="0.25">
      <c r="A107" s="102" t="s">
        <v>19</v>
      </c>
      <c r="B107" s="102" t="s">
        <v>78</v>
      </c>
      <c r="C107" s="4">
        <v>1</v>
      </c>
      <c r="G107" s="102" t="s">
        <v>31</v>
      </c>
      <c r="H107" s="102" t="s">
        <v>118</v>
      </c>
      <c r="I107" s="102" t="s">
        <v>359</v>
      </c>
      <c r="J107" s="4"/>
    </row>
    <row r="108" spans="1:10" x14ac:dyDescent="0.25">
      <c r="A108" s="102" t="s">
        <v>19</v>
      </c>
      <c r="B108" s="102" t="s">
        <v>248</v>
      </c>
      <c r="C108" s="4">
        <v>1</v>
      </c>
      <c r="G108" s="102" t="s">
        <v>89</v>
      </c>
      <c r="H108" s="102" t="s">
        <v>178</v>
      </c>
      <c r="I108" s="102" t="s">
        <v>359</v>
      </c>
      <c r="J108" s="4"/>
    </row>
    <row r="109" spans="1:10" x14ac:dyDescent="0.25">
      <c r="A109" s="102" t="s">
        <v>19</v>
      </c>
      <c r="B109" s="102" t="s">
        <v>87</v>
      </c>
      <c r="C109" s="4">
        <v>1</v>
      </c>
      <c r="G109" s="102" t="s">
        <v>70</v>
      </c>
      <c r="H109" s="102" t="s">
        <v>159</v>
      </c>
      <c r="I109" s="102" t="s">
        <v>358</v>
      </c>
      <c r="J109" s="4">
        <v>984</v>
      </c>
    </row>
    <row r="110" spans="1:10" x14ac:dyDescent="0.25">
      <c r="A110" s="102" t="s">
        <v>19</v>
      </c>
      <c r="B110" s="102" t="s">
        <v>90</v>
      </c>
      <c r="C110" s="4">
        <v>1</v>
      </c>
      <c r="G110" s="102" t="s">
        <v>556</v>
      </c>
      <c r="H110" s="102" t="s">
        <v>283</v>
      </c>
      <c r="I110" s="102" t="s">
        <v>358</v>
      </c>
      <c r="J110" s="4">
        <v>496</v>
      </c>
    </row>
    <row r="111" spans="1:10" x14ac:dyDescent="0.25">
      <c r="A111" s="102" t="s">
        <v>19</v>
      </c>
      <c r="B111" s="102" t="s">
        <v>88</v>
      </c>
      <c r="C111" s="4">
        <v>1</v>
      </c>
      <c r="G111" s="102" t="s">
        <v>646</v>
      </c>
      <c r="H111" s="102" t="s">
        <v>647</v>
      </c>
      <c r="I111" s="102" t="s">
        <v>358</v>
      </c>
      <c r="J111" s="4">
        <v>31</v>
      </c>
    </row>
    <row r="112" spans="1:10" x14ac:dyDescent="0.25">
      <c r="A112" s="102" t="s">
        <v>19</v>
      </c>
      <c r="B112" s="102" t="s">
        <v>68</v>
      </c>
      <c r="C112" s="4">
        <v>1</v>
      </c>
      <c r="G112" s="102" t="s">
        <v>80</v>
      </c>
      <c r="H112" s="102" t="s">
        <v>169</v>
      </c>
      <c r="I112" s="102" t="s">
        <v>358</v>
      </c>
      <c r="J112" s="4">
        <v>7</v>
      </c>
    </row>
    <row r="113" spans="1:10" x14ac:dyDescent="0.25">
      <c r="A113" s="102" t="s">
        <v>19</v>
      </c>
      <c r="B113" s="102" t="s">
        <v>565</v>
      </c>
      <c r="C113" s="4">
        <v>1</v>
      </c>
      <c r="G113" s="102" t="s">
        <v>922</v>
      </c>
      <c r="H113" s="102" t="s">
        <v>287</v>
      </c>
      <c r="I113" s="102" t="s">
        <v>358</v>
      </c>
      <c r="J113" s="4">
        <v>52</v>
      </c>
    </row>
    <row r="114" spans="1:10" x14ac:dyDescent="0.25">
      <c r="A114" s="102" t="s">
        <v>19</v>
      </c>
      <c r="B114" s="102" t="s">
        <v>69</v>
      </c>
      <c r="C114" s="4">
        <v>1</v>
      </c>
      <c r="G114" s="102" t="s">
        <v>97</v>
      </c>
      <c r="H114" s="102" t="s">
        <v>186</v>
      </c>
      <c r="I114" s="102" t="s">
        <v>359</v>
      </c>
      <c r="J114" s="4"/>
    </row>
    <row r="115" spans="1:10" x14ac:dyDescent="0.25">
      <c r="A115" s="102" t="s">
        <v>19</v>
      </c>
      <c r="B115" s="102" t="s">
        <v>92</v>
      </c>
      <c r="C115" s="4">
        <v>1</v>
      </c>
      <c r="G115" s="102" t="s">
        <v>96</v>
      </c>
      <c r="H115" s="102" t="s">
        <v>185</v>
      </c>
      <c r="I115" s="102" t="s">
        <v>359</v>
      </c>
      <c r="J115" s="4"/>
    </row>
    <row r="116" spans="1:10" x14ac:dyDescent="0.25">
      <c r="A116" s="102" t="s">
        <v>19</v>
      </c>
      <c r="B116" s="102" t="s">
        <v>89</v>
      </c>
      <c r="C116" s="4">
        <v>1</v>
      </c>
      <c r="G116" s="102" t="s">
        <v>34</v>
      </c>
      <c r="H116" s="102" t="s">
        <v>121</v>
      </c>
      <c r="I116" s="102" t="s">
        <v>358</v>
      </c>
      <c r="J116" s="4">
        <v>365</v>
      </c>
    </row>
    <row r="117" spans="1:10" x14ac:dyDescent="0.25">
      <c r="A117" s="102" t="s">
        <v>19</v>
      </c>
      <c r="B117" s="102" t="s">
        <v>70</v>
      </c>
      <c r="C117" s="4">
        <v>1</v>
      </c>
      <c r="G117" s="102" t="s">
        <v>52</v>
      </c>
      <c r="H117" s="102" t="s">
        <v>139</v>
      </c>
      <c r="I117" s="102" t="s">
        <v>358</v>
      </c>
      <c r="J117" s="4">
        <v>112</v>
      </c>
    </row>
    <row r="118" spans="1:10" x14ac:dyDescent="0.25">
      <c r="A118" s="102" t="s">
        <v>19</v>
      </c>
      <c r="B118" s="102" t="s">
        <v>556</v>
      </c>
      <c r="C118" s="4">
        <v>1</v>
      </c>
      <c r="G118" s="102" t="s">
        <v>107</v>
      </c>
      <c r="H118" s="102" t="s">
        <v>196</v>
      </c>
      <c r="I118" s="102" t="s">
        <v>358</v>
      </c>
      <c r="J118" s="4">
        <v>5</v>
      </c>
    </row>
    <row r="119" spans="1:10" x14ac:dyDescent="0.25">
      <c r="A119" s="102" t="s">
        <v>19</v>
      </c>
      <c r="B119" s="102" t="s">
        <v>80</v>
      </c>
      <c r="C119" s="4">
        <v>1</v>
      </c>
      <c r="G119" s="102" t="s">
        <v>634</v>
      </c>
      <c r="H119" s="102" t="s">
        <v>638</v>
      </c>
      <c r="I119" s="102" t="s">
        <v>359</v>
      </c>
      <c r="J119" s="4"/>
    </row>
    <row r="120" spans="1:10" x14ac:dyDescent="0.25">
      <c r="A120" s="102" t="s">
        <v>19</v>
      </c>
      <c r="B120" s="102" t="s">
        <v>97</v>
      </c>
      <c r="C120" s="4">
        <v>1</v>
      </c>
      <c r="G120" s="102" t="s">
        <v>635</v>
      </c>
      <c r="H120" s="102" t="s">
        <v>639</v>
      </c>
      <c r="I120" s="102" t="s">
        <v>359</v>
      </c>
      <c r="J120" s="4"/>
    </row>
    <row r="121" spans="1:10" x14ac:dyDescent="0.25">
      <c r="A121" s="102" t="s">
        <v>19</v>
      </c>
      <c r="B121" s="102" t="s">
        <v>96</v>
      </c>
      <c r="C121" s="4">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0"/>
  <sheetViews>
    <sheetView showZeros="0" workbookViewId="0">
      <selection activeCell="A20" sqref="A20"/>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102"/>
    <col min="12" max="12" width="10.140625" customWidth="1"/>
    <col min="13" max="13" width="9.140625" style="102"/>
    <col min="14" max="14" width="22.7109375" customWidth="1"/>
    <col min="15" max="15" width="16.42578125" style="102" customWidth="1"/>
    <col min="16" max="16" width="19.140625" customWidth="1"/>
    <col min="18" max="18" width="16.28515625" customWidth="1"/>
    <col min="20" max="20" width="23.140625" customWidth="1"/>
    <col min="22" max="22" width="35.28515625" customWidth="1"/>
    <col min="23" max="23" width="9.140625" style="102"/>
    <col min="24" max="24" width="23.5703125" style="102"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60" customFormat="1" ht="16.5" customHeight="1" x14ac:dyDescent="0.25">
      <c r="A1" s="60" t="s">
        <v>341</v>
      </c>
      <c r="B1" s="60" t="s">
        <v>343</v>
      </c>
      <c r="C1" s="60" t="s">
        <v>342</v>
      </c>
      <c r="D1" s="60" t="s">
        <v>210</v>
      </c>
      <c r="E1" s="60" t="s">
        <v>345</v>
      </c>
      <c r="F1" s="60" t="s">
        <v>344</v>
      </c>
      <c r="J1" s="3" t="s">
        <v>10</v>
      </c>
      <c r="K1" s="3"/>
      <c r="L1" s="3" t="s">
        <v>7</v>
      </c>
      <c r="M1" s="3"/>
      <c r="N1" s="3" t="s">
        <v>24</v>
      </c>
      <c r="O1" s="3"/>
      <c r="P1" s="3" t="s">
        <v>357</v>
      </c>
      <c r="R1" s="60" t="s">
        <v>760</v>
      </c>
      <c r="T1" s="60" t="s">
        <v>765</v>
      </c>
      <c r="V1" s="60" t="s">
        <v>855</v>
      </c>
      <c r="W1" s="102"/>
      <c r="X1" s="102" t="s">
        <v>864</v>
      </c>
      <c r="Z1" s="60" t="s">
        <v>840</v>
      </c>
      <c r="AA1" s="60" t="s">
        <v>202</v>
      </c>
      <c r="AB1" s="60" t="s">
        <v>837</v>
      </c>
      <c r="AE1" s="60" t="s">
        <v>881</v>
      </c>
      <c r="AF1" s="60" t="s">
        <v>759</v>
      </c>
      <c r="AG1" s="60" t="s">
        <v>882</v>
      </c>
      <c r="AH1" s="60" t="s">
        <v>883</v>
      </c>
    </row>
    <row r="2" spans="1:35" ht="16.5" customHeight="1" x14ac:dyDescent="0.25">
      <c r="A2" t="s">
        <v>230</v>
      </c>
      <c r="B2" t="s">
        <v>328</v>
      </c>
      <c r="C2" t="s">
        <v>318</v>
      </c>
      <c r="D2" t="s">
        <v>321</v>
      </c>
      <c r="E2">
        <v>12</v>
      </c>
      <c r="F2">
        <v>2</v>
      </c>
      <c r="J2" s="67" t="s">
        <v>7</v>
      </c>
      <c r="K2" s="67"/>
      <c r="L2" s="67" t="s">
        <v>17</v>
      </c>
      <c r="M2" s="67"/>
      <c r="N2" s="67" t="s">
        <v>21</v>
      </c>
      <c r="O2" s="67"/>
      <c r="P2" s="67" t="s">
        <v>352</v>
      </c>
      <c r="R2" t="s">
        <v>754</v>
      </c>
      <c r="T2" t="s">
        <v>932</v>
      </c>
      <c r="V2" t="s">
        <v>786</v>
      </c>
      <c r="X2" s="102" t="s">
        <v>865</v>
      </c>
      <c r="Z2" s="325" t="s">
        <v>805</v>
      </c>
      <c r="AA2" s="325"/>
      <c r="AB2" s="325"/>
      <c r="AE2" t="s">
        <v>884</v>
      </c>
      <c r="AF2" s="364" t="s">
        <v>906</v>
      </c>
      <c r="AG2" s="136">
        <v>0</v>
      </c>
      <c r="AH2">
        <v>0.5</v>
      </c>
    </row>
    <row r="3" spans="1:35" ht="16.5" customHeight="1" x14ac:dyDescent="0.25">
      <c r="A3" t="s">
        <v>336</v>
      </c>
      <c r="B3" t="s">
        <v>337</v>
      </c>
      <c r="C3" t="s">
        <v>338</v>
      </c>
      <c r="D3" t="s">
        <v>339</v>
      </c>
      <c r="E3" s="102">
        <v>12</v>
      </c>
      <c r="F3">
        <v>1</v>
      </c>
      <c r="J3" s="3"/>
      <c r="K3" s="3"/>
      <c r="L3" s="67" t="s">
        <v>15</v>
      </c>
      <c r="M3" s="67"/>
      <c r="N3" s="67" t="s">
        <v>854</v>
      </c>
      <c r="O3" s="67"/>
      <c r="P3" s="67" t="s">
        <v>353</v>
      </c>
      <c r="R3" t="s">
        <v>929</v>
      </c>
      <c r="T3" t="s">
        <v>756</v>
      </c>
      <c r="V3" t="s">
        <v>863</v>
      </c>
      <c r="X3" s="102" t="s">
        <v>866</v>
      </c>
      <c r="Z3" s="323" t="s">
        <v>291</v>
      </c>
      <c r="AA3" s="323" t="s">
        <v>684</v>
      </c>
      <c r="AB3" s="324" t="s">
        <v>912</v>
      </c>
      <c r="AE3" s="102" t="s">
        <v>885</v>
      </c>
      <c r="AF3" s="364" t="s">
        <v>907</v>
      </c>
      <c r="AG3">
        <v>0.5</v>
      </c>
      <c r="AH3">
        <v>1</v>
      </c>
    </row>
    <row r="4" spans="1:35" ht="16.5" customHeight="1" x14ac:dyDescent="0.25">
      <c r="A4" t="s">
        <v>309</v>
      </c>
      <c r="B4" t="s">
        <v>329</v>
      </c>
      <c r="C4" t="s">
        <v>314</v>
      </c>
      <c r="D4" t="s">
        <v>324</v>
      </c>
      <c r="E4" s="102">
        <v>12</v>
      </c>
      <c r="F4">
        <v>1</v>
      </c>
      <c r="J4" s="67"/>
      <c r="K4" s="67"/>
      <c r="L4" s="67" t="s">
        <v>20</v>
      </c>
      <c r="M4" s="67"/>
      <c r="N4" s="67" t="s">
        <v>22</v>
      </c>
      <c r="O4" s="67"/>
      <c r="P4" s="67" t="s">
        <v>351</v>
      </c>
      <c r="R4" t="s">
        <v>679</v>
      </c>
      <c r="T4" t="s">
        <v>755</v>
      </c>
      <c r="V4" t="s">
        <v>858</v>
      </c>
      <c r="X4" s="102" t="s">
        <v>867</v>
      </c>
      <c r="Z4" s="323" t="s">
        <v>643</v>
      </c>
      <c r="AA4" s="323" t="s">
        <v>839</v>
      </c>
      <c r="AB4" s="324" t="s">
        <v>913</v>
      </c>
      <c r="AE4" s="102" t="s">
        <v>886</v>
      </c>
      <c r="AF4" s="364" t="s">
        <v>897</v>
      </c>
      <c r="AG4">
        <v>1</v>
      </c>
      <c r="AH4">
        <v>2</v>
      </c>
    </row>
    <row r="5" spans="1:35" ht="16.5" customHeight="1" x14ac:dyDescent="0.25">
      <c r="A5" t="s">
        <v>231</v>
      </c>
      <c r="B5" t="s">
        <v>330</v>
      </c>
      <c r="C5" t="s">
        <v>319</v>
      </c>
      <c r="D5" t="s">
        <v>322</v>
      </c>
      <c r="E5" s="102">
        <v>12</v>
      </c>
      <c r="F5">
        <v>1</v>
      </c>
      <c r="J5" s="3"/>
      <c r="K5" s="3"/>
      <c r="L5" s="67" t="s">
        <v>915</v>
      </c>
      <c r="M5" s="67"/>
      <c r="N5" s="67" t="s">
        <v>23</v>
      </c>
      <c r="O5" s="67"/>
      <c r="P5" s="67"/>
      <c r="R5" t="s">
        <v>930</v>
      </c>
      <c r="T5" t="s">
        <v>933</v>
      </c>
      <c r="V5" t="s">
        <v>860</v>
      </c>
      <c r="X5" s="102" t="s">
        <v>868</v>
      </c>
      <c r="Z5" s="323" t="s">
        <v>733</v>
      </c>
      <c r="AA5" s="323" t="s">
        <v>682</v>
      </c>
      <c r="AB5" s="324" t="s">
        <v>843</v>
      </c>
      <c r="AE5" s="102" t="s">
        <v>887</v>
      </c>
      <c r="AF5" s="364" t="s">
        <v>896</v>
      </c>
      <c r="AG5">
        <v>2</v>
      </c>
      <c r="AH5">
        <v>3</v>
      </c>
    </row>
    <row r="6" spans="1:35" ht="16.5" customHeight="1" x14ac:dyDescent="0.25">
      <c r="A6" t="s">
        <v>615</v>
      </c>
      <c r="B6" t="s">
        <v>331</v>
      </c>
      <c r="C6" t="s">
        <v>323</v>
      </c>
      <c r="D6" t="s">
        <v>327</v>
      </c>
      <c r="E6" s="102">
        <v>12</v>
      </c>
      <c r="F6">
        <v>2</v>
      </c>
      <c r="J6" s="67"/>
      <c r="K6" s="67"/>
      <c r="L6" s="67" t="s">
        <v>11</v>
      </c>
      <c r="M6" s="67"/>
      <c r="N6" s="67"/>
      <c r="O6" s="67"/>
      <c r="P6" s="67"/>
      <c r="R6" t="s">
        <v>931</v>
      </c>
      <c r="T6" t="s">
        <v>936</v>
      </c>
      <c r="V6" t="s">
        <v>859</v>
      </c>
      <c r="X6" s="102" t="s">
        <v>880</v>
      </c>
      <c r="Z6" s="323" t="s">
        <v>838</v>
      </c>
      <c r="AA6" s="323" t="s">
        <v>526</v>
      </c>
      <c r="AB6" s="324" t="s">
        <v>842</v>
      </c>
      <c r="AE6" s="102" t="s">
        <v>888</v>
      </c>
      <c r="AF6" s="364" t="s">
        <v>898</v>
      </c>
      <c r="AG6">
        <v>3</v>
      </c>
      <c r="AH6">
        <v>5</v>
      </c>
    </row>
    <row r="7" spans="1:35" ht="16.5" customHeight="1" x14ac:dyDescent="0.25">
      <c r="A7" t="s">
        <v>204</v>
      </c>
      <c r="B7" t="s">
        <v>332</v>
      </c>
      <c r="C7" t="s">
        <v>315</v>
      </c>
      <c r="D7" t="s">
        <v>325</v>
      </c>
      <c r="E7" s="102">
        <v>12</v>
      </c>
      <c r="F7">
        <v>1</v>
      </c>
      <c r="J7" s="67"/>
      <c r="K7" s="67"/>
      <c r="L7" s="67" t="s">
        <v>12</v>
      </c>
      <c r="M7" s="67"/>
      <c r="N7" s="67"/>
      <c r="O7" s="67"/>
      <c r="P7" s="67"/>
      <c r="R7" t="s">
        <v>905</v>
      </c>
      <c r="T7" t="s">
        <v>934</v>
      </c>
      <c r="V7" t="s">
        <v>861</v>
      </c>
      <c r="X7" s="102" t="s">
        <v>869</v>
      </c>
      <c r="Z7" s="323" t="s">
        <v>288</v>
      </c>
      <c r="AA7" s="323" t="s">
        <v>841</v>
      </c>
      <c r="AB7" s="324" t="s">
        <v>923</v>
      </c>
      <c r="AE7" s="102" t="s">
        <v>889</v>
      </c>
      <c r="AF7" s="364" t="s">
        <v>899</v>
      </c>
      <c r="AG7">
        <v>5</v>
      </c>
      <c r="AH7">
        <v>11</v>
      </c>
    </row>
    <row r="8" spans="1:35" ht="16.5" customHeight="1" x14ac:dyDescent="0.25">
      <c r="A8" t="s">
        <v>596</v>
      </c>
      <c r="B8" t="s">
        <v>598</v>
      </c>
      <c r="C8" t="s">
        <v>600</v>
      </c>
      <c r="D8" t="s">
        <v>602</v>
      </c>
      <c r="E8" s="102">
        <v>12</v>
      </c>
      <c r="F8">
        <v>1</v>
      </c>
      <c r="J8" s="67"/>
      <c r="K8" s="67"/>
      <c r="L8" s="67" t="s">
        <v>14</v>
      </c>
      <c r="M8" s="67"/>
      <c r="N8" s="67"/>
      <c r="O8" s="67"/>
      <c r="P8" s="67"/>
      <c r="T8" t="s">
        <v>937</v>
      </c>
      <c r="V8" t="s">
        <v>857</v>
      </c>
      <c r="X8" s="102" t="s">
        <v>870</v>
      </c>
      <c r="AE8" s="102" t="s">
        <v>890</v>
      </c>
      <c r="AF8" s="364" t="s">
        <v>900</v>
      </c>
      <c r="AG8">
        <v>11</v>
      </c>
      <c r="AH8">
        <v>15</v>
      </c>
    </row>
    <row r="9" spans="1:35" ht="16.5" customHeight="1" x14ac:dyDescent="0.25">
      <c r="A9" t="s">
        <v>597</v>
      </c>
      <c r="B9" t="s">
        <v>599</v>
      </c>
      <c r="C9" t="s">
        <v>601</v>
      </c>
      <c r="D9" t="s">
        <v>603</v>
      </c>
      <c r="E9" s="102">
        <v>12</v>
      </c>
      <c r="F9">
        <v>5</v>
      </c>
      <c r="J9" s="67"/>
      <c r="K9" s="67"/>
      <c r="L9" s="67" t="s">
        <v>18</v>
      </c>
      <c r="M9" s="67"/>
      <c r="N9" s="67"/>
      <c r="O9" s="67"/>
      <c r="P9" s="67"/>
      <c r="T9" t="s">
        <v>935</v>
      </c>
      <c r="V9" t="s">
        <v>856</v>
      </c>
      <c r="X9" s="102" t="s">
        <v>871</v>
      </c>
      <c r="AE9" s="102" t="s">
        <v>891</v>
      </c>
      <c r="AF9" s="364" t="s">
        <v>901</v>
      </c>
      <c r="AG9">
        <v>15</v>
      </c>
      <c r="AH9">
        <v>18</v>
      </c>
    </row>
    <row r="10" spans="1:35" ht="16.5" customHeight="1" x14ac:dyDescent="0.25">
      <c r="A10" t="s">
        <v>310</v>
      </c>
      <c r="B10" s="102" t="s">
        <v>333</v>
      </c>
      <c r="C10" s="102" t="s">
        <v>316</v>
      </c>
      <c r="D10" s="102" t="s">
        <v>326</v>
      </c>
      <c r="E10" s="102">
        <v>12</v>
      </c>
      <c r="F10" s="102">
        <v>1</v>
      </c>
      <c r="J10" s="67"/>
      <c r="K10" s="67"/>
      <c r="L10" s="67" t="s">
        <v>16</v>
      </c>
      <c r="M10" s="67"/>
      <c r="N10" s="67"/>
      <c r="O10" s="67"/>
      <c r="P10" s="67"/>
      <c r="V10" t="s">
        <v>862</v>
      </c>
      <c r="X10" s="102" t="s">
        <v>872</v>
      </c>
      <c r="AE10" s="102" t="s">
        <v>892</v>
      </c>
      <c r="AF10" s="364" t="s">
        <v>902</v>
      </c>
      <c r="AG10">
        <v>18</v>
      </c>
      <c r="AH10">
        <v>24</v>
      </c>
    </row>
    <row r="11" spans="1:35" ht="16.5" customHeight="1" x14ac:dyDescent="0.25">
      <c r="A11" t="s">
        <v>311</v>
      </c>
      <c r="B11" s="102" t="s">
        <v>334</v>
      </c>
      <c r="C11" s="102" t="s">
        <v>317</v>
      </c>
      <c r="D11" s="102" t="s">
        <v>320</v>
      </c>
      <c r="E11" s="102">
        <v>12</v>
      </c>
      <c r="F11" s="102">
        <v>1</v>
      </c>
      <c r="J11" s="67"/>
      <c r="K11" s="67"/>
      <c r="L11" s="67" t="s">
        <v>19</v>
      </c>
      <c r="M11" s="67"/>
      <c r="O11" s="67"/>
      <c r="P11" s="67"/>
      <c r="X11" s="102" t="s">
        <v>873</v>
      </c>
      <c r="AE11" s="102" t="s">
        <v>893</v>
      </c>
      <c r="AF11" s="364" t="s">
        <v>903</v>
      </c>
      <c r="AG11">
        <v>24</v>
      </c>
      <c r="AH11">
        <v>49</v>
      </c>
    </row>
    <row r="12" spans="1:35" ht="16.5" customHeight="1" x14ac:dyDescent="0.25">
      <c r="A12" s="102" t="s">
        <v>978</v>
      </c>
      <c r="B12" s="102" t="s">
        <v>983</v>
      </c>
      <c r="C12" s="102" t="s">
        <v>984</v>
      </c>
      <c r="D12" s="102" t="s">
        <v>985</v>
      </c>
      <c r="E12" s="102">
        <v>12</v>
      </c>
      <c r="F12" s="102">
        <v>1</v>
      </c>
      <c r="X12" s="102" t="s">
        <v>874</v>
      </c>
      <c r="AE12" s="102" t="s">
        <v>894</v>
      </c>
      <c r="AF12" s="364" t="s">
        <v>904</v>
      </c>
      <c r="AG12">
        <v>49</v>
      </c>
      <c r="AH12">
        <v>60</v>
      </c>
    </row>
    <row r="13" spans="1:35" ht="16.5" customHeight="1" x14ac:dyDescent="0.25">
      <c r="X13" s="102" t="s">
        <v>875</v>
      </c>
      <c r="AE13" s="102" t="s">
        <v>895</v>
      </c>
      <c r="AF13" s="364" t="s">
        <v>905</v>
      </c>
      <c r="AG13">
        <v>60</v>
      </c>
    </row>
    <row r="14" spans="1:35" ht="16.5" customHeight="1" x14ac:dyDescent="0.25">
      <c r="X14" s="102" t="s">
        <v>879</v>
      </c>
      <c r="AE14" s="102"/>
      <c r="AF14" s="102"/>
      <c r="AG14" s="102"/>
      <c r="AH14" s="102"/>
      <c r="AI14" s="102"/>
    </row>
    <row r="15" spans="1:35" ht="16.5" customHeight="1" x14ac:dyDescent="0.25">
      <c r="X15" s="102" t="s">
        <v>876</v>
      </c>
    </row>
    <row r="16" spans="1:35" ht="16.5" customHeight="1" x14ac:dyDescent="0.25">
      <c r="X16" s="102" t="s">
        <v>877</v>
      </c>
    </row>
    <row r="17" spans="1:24" ht="16.5" customHeight="1" x14ac:dyDescent="0.25">
      <c r="X17" s="102" t="s">
        <v>878</v>
      </c>
    </row>
    <row r="19" spans="1:24" ht="16.5" customHeight="1" x14ac:dyDescent="0.25">
      <c r="A19" s="86">
        <v>42339</v>
      </c>
    </row>
    <row r="20" spans="1:24" ht="16.5" customHeight="1" x14ac:dyDescent="0.25">
      <c r="A20" s="3"/>
    </row>
  </sheetData>
  <sortState ref="A1:C8">
    <sortCondition ref="A2"/>
  </sortState>
  <printOptions gridLines="1"/>
  <pageMargins left="0.25" right="0.25" top="0.75" bottom="0.75" header="0.3" footer="0.3"/>
  <pageSetup paperSize="9"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B2" zoomScale="80" zoomScaleNormal="80" workbookViewId="0">
      <selection activeCell="I26" sqref="I26"/>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759" t="s">
        <v>804</v>
      </c>
      <c r="B2" s="761" t="s">
        <v>813</v>
      </c>
    </row>
    <row r="3" spans="1:2" ht="15.75" hidden="1" customHeight="1" thickBot="1" x14ac:dyDescent="0.3">
      <c r="A3" s="760"/>
      <c r="B3" s="762"/>
    </row>
    <row r="4" spans="1:2" ht="30.75" customHeight="1" x14ac:dyDescent="0.25">
      <c r="A4" s="759" t="s">
        <v>809</v>
      </c>
      <c r="B4" s="761" t="s">
        <v>814</v>
      </c>
    </row>
    <row r="5" spans="1:2" ht="45" customHeight="1" thickBot="1" x14ac:dyDescent="0.3">
      <c r="A5" s="760"/>
      <c r="B5" s="762"/>
    </row>
    <row r="6" spans="1:2" ht="37.5" customHeight="1" thickBot="1" x14ac:dyDescent="0.3">
      <c r="A6" s="199" t="s">
        <v>811</v>
      </c>
      <c r="B6" s="198" t="s">
        <v>815</v>
      </c>
    </row>
    <row r="7" spans="1:2" ht="66.75" customHeight="1" thickBot="1" x14ac:dyDescent="0.3">
      <c r="A7" s="200" t="s">
        <v>810</v>
      </c>
      <c r="B7" s="198" t="s">
        <v>801</v>
      </c>
    </row>
    <row r="8" spans="1:2" ht="38.25" customHeight="1" thickBot="1" x14ac:dyDescent="0.3">
      <c r="A8" s="199" t="s">
        <v>812</v>
      </c>
      <c r="B8" s="198" t="s">
        <v>751</v>
      </c>
    </row>
    <row r="9" spans="1:2" ht="38.25" customHeight="1" thickBot="1" x14ac:dyDescent="0.3">
      <c r="A9" s="201" t="s">
        <v>201</v>
      </c>
      <c r="B9" s="202" t="s">
        <v>749</v>
      </c>
    </row>
    <row r="10" spans="1:2" ht="38.25" customHeight="1" thickBot="1" x14ac:dyDescent="0.3">
      <c r="A10" s="201" t="s">
        <v>21</v>
      </c>
      <c r="B10" s="202" t="s">
        <v>802</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P125"/>
  <sheetViews>
    <sheetView showZeros="0" zoomScale="80" zoomScaleNormal="80" workbookViewId="0">
      <selection activeCell="R43" sqref="R43"/>
    </sheetView>
  </sheetViews>
  <sheetFormatPr defaultColWidth="9.140625" defaultRowHeight="15" x14ac:dyDescent="0.25"/>
  <cols>
    <col min="1" max="1" width="8.42578125" style="21" customWidth="1"/>
    <col min="2" max="2" width="11.5703125" style="21" bestFit="1" customWidth="1"/>
    <col min="3" max="3" width="17.85546875" style="21" hidden="1" customWidth="1"/>
    <col min="4" max="4" width="12.7109375" style="21" bestFit="1" customWidth="1"/>
    <col min="5" max="5" width="19" style="21" hidden="1" customWidth="1"/>
    <col min="6" max="6" width="13" style="21" customWidth="1"/>
    <col min="7" max="7" width="17.140625" style="1" hidden="1" customWidth="1"/>
    <col min="8" max="8" width="28.28515625" style="21" hidden="1" customWidth="1"/>
    <col min="9" max="9" width="28.28515625" style="1" hidden="1" customWidth="1"/>
    <col min="10" max="10" width="32.42578125" style="1" hidden="1" customWidth="1"/>
    <col min="11" max="11" width="23.7109375" style="1" hidden="1" customWidth="1"/>
    <col min="12" max="12" width="31" style="21" bestFit="1" customWidth="1"/>
    <col min="13" max="13" width="15.28515625" style="21" bestFit="1" customWidth="1"/>
    <col min="14" max="14" width="15.140625" style="21" bestFit="1" customWidth="1"/>
    <col min="15" max="15" width="13.5703125" style="21" bestFit="1" customWidth="1"/>
    <col min="16" max="16" width="10.7109375" style="21" bestFit="1" customWidth="1"/>
    <col min="17" max="17" width="6.28515625" style="404" bestFit="1" customWidth="1"/>
    <col min="18" max="18" width="8" style="404" bestFit="1" customWidth="1"/>
    <col min="19" max="19" width="6.85546875" style="405" bestFit="1" customWidth="1"/>
    <col min="20" max="20" width="15.42578125" style="339" bestFit="1" customWidth="1"/>
    <col min="21" max="21" width="13.28515625" style="339" bestFit="1" customWidth="1"/>
    <col min="22" max="22" width="23.28515625" style="408" bestFit="1" customWidth="1"/>
    <col min="23" max="23" width="11.140625" style="408" bestFit="1" customWidth="1"/>
    <col min="24" max="24" width="15.7109375" style="21" bestFit="1" customWidth="1"/>
    <col min="25" max="25" width="11.28515625" style="21" bestFit="1" customWidth="1"/>
    <col min="26" max="26" width="12.7109375" style="21" customWidth="1"/>
    <col min="27" max="27" width="21.7109375" style="21" customWidth="1"/>
    <col min="28" max="28" width="15.42578125" style="21" customWidth="1"/>
    <col min="29" max="29" width="13" style="21" customWidth="1"/>
    <col min="30" max="30" width="30" style="21" customWidth="1"/>
    <col min="31" max="31" width="12.5703125" style="81" customWidth="1"/>
    <col min="32" max="32" width="18" style="21" customWidth="1"/>
    <col min="33" max="33" width="38.85546875" style="21" customWidth="1"/>
    <col min="34" max="34" width="14.28515625" style="21" customWidth="1"/>
    <col min="35" max="35" width="12.28515625" style="90" customWidth="1"/>
    <col min="36" max="63" width="9.140625" style="21"/>
    <col min="64" max="65" width="9.140625" style="81"/>
    <col min="66" max="16384" width="9.140625" style="21"/>
  </cols>
  <sheetData>
    <row r="1" spans="1:67" ht="51.75" customHeight="1" x14ac:dyDescent="0.25">
      <c r="A1" s="513"/>
      <c r="B1" s="513"/>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BJ1" s="81"/>
      <c r="BK1" s="81"/>
      <c r="BL1" s="21"/>
      <c r="BM1" s="21"/>
    </row>
    <row r="2" spans="1:67" ht="26.25" x14ac:dyDescent="0.25">
      <c r="A2" s="513" t="s">
        <v>816</v>
      </c>
      <c r="B2" s="513"/>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BH2" s="81"/>
      <c r="BI2" s="81"/>
      <c r="BL2" s="21"/>
      <c r="BM2" s="21"/>
    </row>
    <row r="3" spans="1:67" ht="18" customHeight="1" x14ac:dyDescent="0.25">
      <c r="A3" s="763">
        <f>Report_Date</f>
        <v>42339</v>
      </c>
      <c r="B3" s="764"/>
      <c r="C3" s="513"/>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BH3" s="81"/>
      <c r="BI3" s="81"/>
      <c r="BL3" s="21"/>
      <c r="BM3" s="21"/>
    </row>
    <row r="4" spans="1:67" s="415" customFormat="1" ht="32.25" customHeight="1" x14ac:dyDescent="0.25">
      <c r="A4" s="412" t="s">
        <v>355</v>
      </c>
      <c r="B4" s="330" t="s">
        <v>10</v>
      </c>
      <c r="C4" s="330" t="s">
        <v>347</v>
      </c>
      <c r="D4" s="330" t="s">
        <v>545</v>
      </c>
      <c r="E4" s="330" t="s">
        <v>546</v>
      </c>
      <c r="F4" s="412" t="s">
        <v>0</v>
      </c>
      <c r="G4" s="330" t="s">
        <v>348</v>
      </c>
      <c r="H4" s="330" t="s">
        <v>542</v>
      </c>
      <c r="I4" s="330" t="s">
        <v>541</v>
      </c>
      <c r="J4" s="330" t="s">
        <v>543</v>
      </c>
      <c r="K4" s="330" t="s">
        <v>544</v>
      </c>
      <c r="L4" s="412" t="s">
        <v>9</v>
      </c>
      <c r="M4" s="412" t="s">
        <v>8</v>
      </c>
      <c r="N4" s="330" t="s">
        <v>2</v>
      </c>
      <c r="O4" s="330" t="s">
        <v>3</v>
      </c>
      <c r="P4" s="412" t="s">
        <v>671</v>
      </c>
      <c r="Q4" s="413" t="s">
        <v>4</v>
      </c>
      <c r="R4" s="413" t="s">
        <v>5</v>
      </c>
      <c r="S4" s="414" t="s">
        <v>346</v>
      </c>
      <c r="T4" s="412" t="s">
        <v>853</v>
      </c>
      <c r="U4" s="412" t="s">
        <v>785</v>
      </c>
      <c r="V4" s="412" t="s">
        <v>24</v>
      </c>
      <c r="W4" s="412" t="s">
        <v>908</v>
      </c>
      <c r="X4" s="412" t="s">
        <v>672</v>
      </c>
      <c r="Y4" s="412" t="s">
        <v>787</v>
      </c>
      <c r="Z4" s="415" t="s">
        <v>788</v>
      </c>
      <c r="AA4" s="415" t="s">
        <v>794</v>
      </c>
      <c r="AB4" s="412" t="s">
        <v>690</v>
      </c>
      <c r="AC4" s="412" t="s">
        <v>689</v>
      </c>
      <c r="AD4" s="412" t="s">
        <v>349</v>
      </c>
      <c r="AE4" s="412" t="s">
        <v>350</v>
      </c>
      <c r="AF4" s="416" t="s">
        <v>360</v>
      </c>
      <c r="AG4" s="412" t="s">
        <v>354</v>
      </c>
      <c r="AH4" s="412" t="s">
        <v>837</v>
      </c>
      <c r="AI4" s="417" t="s">
        <v>850</v>
      </c>
      <c r="BN4" s="418"/>
      <c r="BO4" s="418"/>
    </row>
    <row r="5" spans="1:67" ht="16.5" customHeight="1" x14ac:dyDescent="0.25">
      <c r="A5" s="452" t="s">
        <v>358</v>
      </c>
      <c r="B5" s="452" t="s">
        <v>7</v>
      </c>
      <c r="C5" s="452" t="s">
        <v>361</v>
      </c>
      <c r="D5" s="452" t="s">
        <v>627</v>
      </c>
      <c r="E5" s="452" t="s">
        <v>628</v>
      </c>
      <c r="F5" s="452" t="s">
        <v>17</v>
      </c>
      <c r="G5" s="452" t="s">
        <v>416</v>
      </c>
      <c r="H5" s="452" t="s">
        <v>420</v>
      </c>
      <c r="I5" s="452" t="s">
        <v>419</v>
      </c>
      <c r="J5" s="452" t="s">
        <v>484</v>
      </c>
      <c r="K5" s="452">
        <v>198469</v>
      </c>
      <c r="L5" s="452" t="s">
        <v>484</v>
      </c>
      <c r="M5" s="452" t="s">
        <v>147</v>
      </c>
      <c r="N5" s="87">
        <v>93.552452000000002</v>
      </c>
      <c r="O5" s="87">
        <v>19.421102000000001</v>
      </c>
      <c r="P5" s="452"/>
      <c r="Q5" s="331">
        <v>65</v>
      </c>
      <c r="R5" s="331">
        <v>327</v>
      </c>
      <c r="S5" s="332">
        <v>5.0307692307692307</v>
      </c>
      <c r="T5" s="452" t="s">
        <v>352</v>
      </c>
      <c r="U5" s="452" t="s">
        <v>786</v>
      </c>
      <c r="V5" s="452" t="s">
        <v>22</v>
      </c>
      <c r="W5" s="460"/>
      <c r="X5" s="452"/>
      <c r="Y5" s="452" t="s">
        <v>7</v>
      </c>
      <c r="Z5" s="452" t="s">
        <v>789</v>
      </c>
      <c r="AA5" s="452" t="str">
        <f>CONCATENATE(Camp_List[[#This Row],[Ethnicity]],"-",Camp_List[[#This Row],[Religion]])</f>
        <v>Rakhine-Buddhist</v>
      </c>
      <c r="AB5" s="452" t="s">
        <v>688</v>
      </c>
      <c r="AC5" s="452" t="s">
        <v>288</v>
      </c>
      <c r="AD5" s="452" t="s">
        <v>515</v>
      </c>
      <c r="AE5" s="452" t="s">
        <v>531</v>
      </c>
      <c r="AF5" s="333">
        <v>42097</v>
      </c>
      <c r="AG5" s="452" t="s">
        <v>911</v>
      </c>
      <c r="AH5" s="87" t="str">
        <f>IFERROR(VLOOKUP(Camp_List[[#This Row],[Responsible Agency]],Organization_t[],3,0),"")</f>
        <v>Richard Warren</v>
      </c>
      <c r="AI5" s="355">
        <f ca="1">IF((SUMIFS(Data_Shelter_t[Coverage],Data_Shelter_t[Pcode],Camp_List[[#This Row],[P_Code]]))&gt;1,1,SUMIFS(Data_Shelter_t[Coverage],Data_Shelter_t[Pcode],Camp_List[[#This Row],[P_Code]]))</f>
        <v>0.86153846153846159</v>
      </c>
      <c r="BL5" s="21"/>
      <c r="BM5" s="21"/>
      <c r="BN5" s="81"/>
      <c r="BO5" s="81"/>
    </row>
    <row r="6" spans="1:67" ht="18" hidden="1" customHeight="1" x14ac:dyDescent="0.25">
      <c r="A6" s="452" t="s">
        <v>359</v>
      </c>
      <c r="B6" s="452" t="s">
        <v>7</v>
      </c>
      <c r="C6" s="452" t="s">
        <v>361</v>
      </c>
      <c r="D6" s="452" t="s">
        <v>19</v>
      </c>
      <c r="E6" s="452" t="s">
        <v>623</v>
      </c>
      <c r="F6" s="452" t="s">
        <v>19</v>
      </c>
      <c r="G6" s="452" t="s">
        <v>423</v>
      </c>
      <c r="H6" s="452" t="s">
        <v>434</v>
      </c>
      <c r="I6" s="452" t="s">
        <v>576</v>
      </c>
      <c r="J6" s="452"/>
      <c r="K6" s="452" t="s">
        <v>435</v>
      </c>
      <c r="L6" s="452" t="s">
        <v>91</v>
      </c>
      <c r="M6" s="452" t="s">
        <v>180</v>
      </c>
      <c r="N6" s="87">
        <v>92.895899999999997</v>
      </c>
      <c r="O6" s="87">
        <v>20.1538</v>
      </c>
      <c r="P6" s="452"/>
      <c r="Q6" s="331"/>
      <c r="R6" s="331"/>
      <c r="S6" s="332">
        <v>0</v>
      </c>
      <c r="T6" s="452" t="s">
        <v>352</v>
      </c>
      <c r="U6" s="452" t="s">
        <v>786</v>
      </c>
      <c r="V6" s="452" t="s">
        <v>21</v>
      </c>
      <c r="W6" s="452"/>
      <c r="X6" s="452"/>
      <c r="Y6" s="452"/>
      <c r="Z6" s="452"/>
      <c r="AA6" s="452" t="str">
        <f>CONCATENATE(Camp_List[[#This Row],[Ethnicity]],"-",Camp_List[[#This Row],[Religion]])</f>
        <v>-</v>
      </c>
      <c r="AB6" s="452"/>
      <c r="AC6" s="452" t="s">
        <v>805</v>
      </c>
      <c r="AD6" s="452" t="s">
        <v>515</v>
      </c>
      <c r="AE6" s="452" t="s">
        <v>531</v>
      </c>
      <c r="AF6" s="333">
        <v>41520</v>
      </c>
      <c r="AG6" s="452"/>
      <c r="AH6" s="87">
        <f>IFERROR(VLOOKUP(Camp_List[[#This Row],[Responsible Agency]],Organization_t[],3,0),"")</f>
        <v>0</v>
      </c>
      <c r="AI6" s="355">
        <f>IF((SUMIFS(Data_Shelter_t[Coverage],Data_Shelter_t[Pcode],Camp_List[[#This Row],[P_Code]]))&gt;1,1,SUMIFS(Data_Shelter_t[Coverage],Data_Shelter_t[Pcode],Camp_List[[#This Row],[P_Code]]))</f>
        <v>0</v>
      </c>
      <c r="BL6" s="21"/>
      <c r="BM6" s="21"/>
      <c r="BN6" s="81"/>
      <c r="BO6" s="81"/>
    </row>
    <row r="7" spans="1:67" ht="20.25" hidden="1" customHeight="1" x14ac:dyDescent="0.25">
      <c r="A7" s="452" t="s">
        <v>359</v>
      </c>
      <c r="B7" s="452" t="s">
        <v>7</v>
      </c>
      <c r="C7" s="452" t="s">
        <v>361</v>
      </c>
      <c r="D7" s="452" t="s">
        <v>19</v>
      </c>
      <c r="E7" s="452" t="s">
        <v>623</v>
      </c>
      <c r="F7" s="452" t="s">
        <v>19</v>
      </c>
      <c r="G7" s="452" t="s">
        <v>423</v>
      </c>
      <c r="H7" s="452" t="s">
        <v>442</v>
      </c>
      <c r="I7" s="452" t="s">
        <v>576</v>
      </c>
      <c r="J7" s="452"/>
      <c r="K7" s="452" t="s">
        <v>443</v>
      </c>
      <c r="L7" s="452" t="s">
        <v>81</v>
      </c>
      <c r="M7" s="452" t="s">
        <v>170</v>
      </c>
      <c r="N7" s="87">
        <v>92.894568000000007</v>
      </c>
      <c r="O7" s="87">
        <v>20.145585000000001</v>
      </c>
      <c r="P7" s="452"/>
      <c r="Q7" s="331"/>
      <c r="R7" s="331"/>
      <c r="S7" s="332">
        <v>0</v>
      </c>
      <c r="T7" s="452" t="s">
        <v>352</v>
      </c>
      <c r="U7" s="452" t="s">
        <v>786</v>
      </c>
      <c r="V7" s="452" t="s">
        <v>21</v>
      </c>
      <c r="W7" s="452"/>
      <c r="X7" s="452"/>
      <c r="Y7" s="452"/>
      <c r="Z7" s="452"/>
      <c r="AA7" s="452" t="str">
        <f>CONCATENATE(Camp_List[[#This Row],[Ethnicity]],"-",Camp_List[[#This Row],[Religion]])</f>
        <v>-</v>
      </c>
      <c r="AB7" s="452"/>
      <c r="AC7" s="452" t="s">
        <v>805</v>
      </c>
      <c r="AD7" s="452" t="s">
        <v>515</v>
      </c>
      <c r="AE7" s="452" t="s">
        <v>531</v>
      </c>
      <c r="AF7" s="333">
        <v>41520</v>
      </c>
      <c r="AG7" s="452"/>
      <c r="AH7" s="87">
        <f>IFERROR(VLOOKUP(Camp_List[[#This Row],[Responsible Agency]],Organization_t[],3,0),"")</f>
        <v>0</v>
      </c>
      <c r="AI7" s="355">
        <f>IF((SUMIFS(Data_Shelter_t[Coverage],Data_Shelter_t[Pcode],Camp_List[[#This Row],[P_Code]]))&gt;1,1,SUMIFS(Data_Shelter_t[Coverage],Data_Shelter_t[Pcode],Camp_List[[#This Row],[P_Code]]))</f>
        <v>0</v>
      </c>
      <c r="BL7" s="21"/>
      <c r="BM7" s="21"/>
      <c r="BN7" s="81"/>
      <c r="BO7" s="81"/>
    </row>
    <row r="8" spans="1:67" ht="16.5" hidden="1" customHeight="1" x14ac:dyDescent="0.25">
      <c r="A8" s="452" t="s">
        <v>359</v>
      </c>
      <c r="B8" s="452" t="s">
        <v>7</v>
      </c>
      <c r="C8" s="452" t="s">
        <v>361</v>
      </c>
      <c r="D8" s="452" t="s">
        <v>19</v>
      </c>
      <c r="E8" s="452" t="s">
        <v>623</v>
      </c>
      <c r="F8" s="452" t="s">
        <v>19</v>
      </c>
      <c r="G8" s="452" t="s">
        <v>423</v>
      </c>
      <c r="H8" s="452" t="s">
        <v>444</v>
      </c>
      <c r="I8" s="452" t="s">
        <v>576</v>
      </c>
      <c r="J8" s="452"/>
      <c r="K8" s="452" t="s">
        <v>450</v>
      </c>
      <c r="L8" s="452" t="s">
        <v>82</v>
      </c>
      <c r="M8" s="452" t="s">
        <v>171</v>
      </c>
      <c r="N8" s="87">
        <v>92.898398</v>
      </c>
      <c r="O8" s="87">
        <v>20.152559</v>
      </c>
      <c r="P8" s="452"/>
      <c r="Q8" s="331"/>
      <c r="R8" s="331"/>
      <c r="S8" s="332">
        <v>0</v>
      </c>
      <c r="T8" s="452" t="s">
        <v>352</v>
      </c>
      <c r="U8" s="452" t="s">
        <v>786</v>
      </c>
      <c r="V8" s="452" t="s">
        <v>21</v>
      </c>
      <c r="W8" s="452"/>
      <c r="X8" s="452"/>
      <c r="Y8" s="452"/>
      <c r="Z8" s="452"/>
      <c r="AA8" s="452" t="str">
        <f>CONCATENATE(Camp_List[[#This Row],[Ethnicity]],"-",Camp_List[[#This Row],[Religion]])</f>
        <v>-</v>
      </c>
      <c r="AB8" s="452"/>
      <c r="AC8" s="452" t="s">
        <v>805</v>
      </c>
      <c r="AD8" s="452" t="s">
        <v>515</v>
      </c>
      <c r="AE8" s="452" t="s">
        <v>531</v>
      </c>
      <c r="AF8" s="333">
        <v>41520</v>
      </c>
      <c r="AG8" s="452"/>
      <c r="AH8" s="87">
        <f>IFERROR(VLOOKUP(Camp_List[[#This Row],[Responsible Agency]],Organization_t[],3,0),"")</f>
        <v>0</v>
      </c>
      <c r="AI8" s="355">
        <f>IF((SUMIFS(Data_Shelter_t[Coverage],Data_Shelter_t[Pcode],Camp_List[[#This Row],[P_Code]]))&gt;1,1,SUMIFS(Data_Shelter_t[Coverage],Data_Shelter_t[Pcode],Camp_List[[#This Row],[P_Code]]))</f>
        <v>0</v>
      </c>
      <c r="BL8" s="21"/>
      <c r="BM8" s="21"/>
      <c r="BN8" s="81"/>
      <c r="BO8" s="81"/>
    </row>
    <row r="9" spans="1:67" ht="15.75" hidden="1" customHeight="1" x14ac:dyDescent="0.25">
      <c r="A9" s="452" t="s">
        <v>359</v>
      </c>
      <c r="B9" s="452" t="s">
        <v>7</v>
      </c>
      <c r="C9" s="452" t="s">
        <v>361</v>
      </c>
      <c r="D9" s="452" t="s">
        <v>19</v>
      </c>
      <c r="E9" s="452" t="s">
        <v>623</v>
      </c>
      <c r="F9" s="452" t="s">
        <v>19</v>
      </c>
      <c r="G9" s="452" t="s">
        <v>423</v>
      </c>
      <c r="H9" s="452" t="s">
        <v>442</v>
      </c>
      <c r="I9" s="452" t="s">
        <v>576</v>
      </c>
      <c r="J9" s="452"/>
      <c r="K9" s="452" t="s">
        <v>443</v>
      </c>
      <c r="L9" s="452" t="s">
        <v>95</v>
      </c>
      <c r="M9" s="452" t="s">
        <v>184</v>
      </c>
      <c r="N9" s="87">
        <v>92.895600000000002</v>
      </c>
      <c r="O9" s="87">
        <v>20.146916999999998</v>
      </c>
      <c r="P9" s="452"/>
      <c r="Q9" s="331"/>
      <c r="R9" s="331"/>
      <c r="S9" s="332">
        <v>0</v>
      </c>
      <c r="T9" s="452" t="s">
        <v>352</v>
      </c>
      <c r="U9" s="452" t="s">
        <v>786</v>
      </c>
      <c r="V9" s="452" t="s">
        <v>21</v>
      </c>
      <c r="W9" s="452"/>
      <c r="X9" s="452"/>
      <c r="Y9" s="452"/>
      <c r="Z9" s="452"/>
      <c r="AA9" s="452" t="str">
        <f>CONCATENATE(Camp_List[[#This Row],[Ethnicity]],"-",Camp_List[[#This Row],[Religion]])</f>
        <v>-</v>
      </c>
      <c r="AB9" s="452"/>
      <c r="AC9" s="452" t="s">
        <v>805</v>
      </c>
      <c r="AD9" s="452" t="s">
        <v>515</v>
      </c>
      <c r="AE9" s="452" t="s">
        <v>531</v>
      </c>
      <c r="AF9" s="333">
        <v>41520</v>
      </c>
      <c r="AG9" s="452"/>
      <c r="AH9" s="87">
        <f>IFERROR(VLOOKUP(Camp_List[[#This Row],[Responsible Agency]],Organization_t[],3,0),"")</f>
        <v>0</v>
      </c>
      <c r="AI9" s="355">
        <f>IF((SUMIFS(Data_Shelter_t[Coverage],Data_Shelter_t[Pcode],Camp_List[[#This Row],[P_Code]]))&gt;1,1,SUMIFS(Data_Shelter_t[Coverage],Data_Shelter_t[Pcode],Camp_List[[#This Row],[P_Code]]))</f>
        <v>0</v>
      </c>
      <c r="BL9" s="21"/>
      <c r="BM9" s="21"/>
      <c r="BN9" s="81"/>
      <c r="BO9" s="81"/>
    </row>
    <row r="10" spans="1:67" ht="15" hidden="1" customHeight="1" x14ac:dyDescent="0.25">
      <c r="A10" s="452" t="s">
        <v>359</v>
      </c>
      <c r="B10" s="452" t="s">
        <v>7</v>
      </c>
      <c r="C10" s="452" t="s">
        <v>361</v>
      </c>
      <c r="D10" s="452" t="s">
        <v>19</v>
      </c>
      <c r="E10" s="452" t="s">
        <v>623</v>
      </c>
      <c r="F10" s="452" t="s">
        <v>19</v>
      </c>
      <c r="G10" s="452" t="s">
        <v>423</v>
      </c>
      <c r="H10" s="452" t="s">
        <v>434</v>
      </c>
      <c r="I10" s="452" t="s">
        <v>576</v>
      </c>
      <c r="J10" s="452"/>
      <c r="K10" s="452" t="s">
        <v>435</v>
      </c>
      <c r="L10" s="452" t="s">
        <v>83</v>
      </c>
      <c r="M10" s="452" t="s">
        <v>172</v>
      </c>
      <c r="N10" s="87">
        <v>92.896409000000006</v>
      </c>
      <c r="O10" s="87">
        <v>20.153753999999999</v>
      </c>
      <c r="P10" s="452"/>
      <c r="Q10" s="331"/>
      <c r="R10" s="331"/>
      <c r="S10" s="332">
        <v>0</v>
      </c>
      <c r="T10" s="452" t="s">
        <v>352</v>
      </c>
      <c r="U10" s="452" t="s">
        <v>786</v>
      </c>
      <c r="V10" s="452" t="s">
        <v>21</v>
      </c>
      <c r="W10" s="452"/>
      <c r="X10" s="452"/>
      <c r="Y10" s="452"/>
      <c r="Z10" s="452"/>
      <c r="AA10" s="452" t="str">
        <f>CONCATENATE(Camp_List[[#This Row],[Ethnicity]],"-",Camp_List[[#This Row],[Religion]])</f>
        <v>-</v>
      </c>
      <c r="AB10" s="452"/>
      <c r="AC10" s="452" t="s">
        <v>805</v>
      </c>
      <c r="AD10" s="452" t="s">
        <v>515</v>
      </c>
      <c r="AE10" s="452" t="s">
        <v>531</v>
      </c>
      <c r="AF10" s="333">
        <v>41520</v>
      </c>
      <c r="AG10" s="452"/>
      <c r="AH10" s="87">
        <f>IFERROR(VLOOKUP(Camp_List[[#This Row],[Responsible Agency]],Organization_t[],3,0),"")</f>
        <v>0</v>
      </c>
      <c r="AI10" s="355">
        <f>IF((SUMIFS(Data_Shelter_t[Coverage],Data_Shelter_t[Pcode],Camp_List[[#This Row],[P_Code]]))&gt;1,1,SUMIFS(Data_Shelter_t[Coverage],Data_Shelter_t[Pcode],Camp_List[[#This Row],[P_Code]]))</f>
        <v>0</v>
      </c>
      <c r="BL10" s="21"/>
      <c r="BM10" s="21"/>
      <c r="BN10" s="81"/>
      <c r="BO10" s="81"/>
    </row>
    <row r="11" spans="1:67" ht="18" hidden="1" customHeight="1" x14ac:dyDescent="0.25">
      <c r="A11" s="452" t="s">
        <v>359</v>
      </c>
      <c r="B11" s="452" t="s">
        <v>7</v>
      </c>
      <c r="C11" s="452" t="s">
        <v>361</v>
      </c>
      <c r="D11" s="452" t="s">
        <v>19</v>
      </c>
      <c r="E11" s="452" t="s">
        <v>623</v>
      </c>
      <c r="F11" s="452" t="s">
        <v>19</v>
      </c>
      <c r="G11" s="452" t="s">
        <v>423</v>
      </c>
      <c r="H11" s="452" t="s">
        <v>449</v>
      </c>
      <c r="I11" s="452" t="s">
        <v>576</v>
      </c>
      <c r="J11" s="452"/>
      <c r="K11" s="452" t="s">
        <v>454</v>
      </c>
      <c r="L11" s="452" t="s">
        <v>93</v>
      </c>
      <c r="M11" s="452" t="s">
        <v>182</v>
      </c>
      <c r="N11" s="87">
        <v>92.894450000000006</v>
      </c>
      <c r="O11" s="87">
        <v>20.147099999999998</v>
      </c>
      <c r="P11" s="452"/>
      <c r="Q11" s="331"/>
      <c r="R11" s="331"/>
      <c r="S11" s="332">
        <v>0</v>
      </c>
      <c r="T11" s="452" t="s">
        <v>352</v>
      </c>
      <c r="U11" s="452" t="s">
        <v>786</v>
      </c>
      <c r="V11" s="452" t="s">
        <v>21</v>
      </c>
      <c r="W11" s="452"/>
      <c r="X11" s="452"/>
      <c r="Y11" s="452"/>
      <c r="Z11" s="452"/>
      <c r="AA11" s="452" t="str">
        <f>CONCATENATE(Camp_List[[#This Row],[Ethnicity]],"-",Camp_List[[#This Row],[Religion]])</f>
        <v>-</v>
      </c>
      <c r="AB11" s="452"/>
      <c r="AC11" s="452" t="s">
        <v>805</v>
      </c>
      <c r="AD11" s="452" t="s">
        <v>515</v>
      </c>
      <c r="AE11" s="452" t="s">
        <v>531</v>
      </c>
      <c r="AF11" s="333">
        <v>41520</v>
      </c>
      <c r="AG11" s="452"/>
      <c r="AH11" s="87">
        <f>IFERROR(VLOOKUP(Camp_List[[#This Row],[Responsible Agency]],Organization_t[],3,0),"")</f>
        <v>0</v>
      </c>
      <c r="AI11" s="355">
        <f>IF((SUMIFS(Data_Shelter_t[Coverage],Data_Shelter_t[Pcode],Camp_List[[#This Row],[P_Code]]))&gt;1,1,SUMIFS(Data_Shelter_t[Coverage],Data_Shelter_t[Pcode],Camp_List[[#This Row],[P_Code]]))</f>
        <v>0</v>
      </c>
      <c r="BL11" s="21"/>
      <c r="BM11" s="21"/>
      <c r="BN11" s="81"/>
      <c r="BO11" s="81"/>
    </row>
    <row r="12" spans="1:67" ht="18" hidden="1" customHeight="1" x14ac:dyDescent="0.25">
      <c r="A12" s="452" t="s">
        <v>359</v>
      </c>
      <c r="B12" s="452" t="s">
        <v>7</v>
      </c>
      <c r="C12" s="452" t="s">
        <v>361</v>
      </c>
      <c r="D12" s="452" t="s">
        <v>19</v>
      </c>
      <c r="E12" s="452" t="s">
        <v>623</v>
      </c>
      <c r="F12" s="452" t="s">
        <v>19</v>
      </c>
      <c r="G12" s="452" t="s">
        <v>423</v>
      </c>
      <c r="H12" s="452" t="s">
        <v>445</v>
      </c>
      <c r="I12" s="452" t="s">
        <v>576</v>
      </c>
      <c r="J12" s="452"/>
      <c r="K12" s="452" t="s">
        <v>451</v>
      </c>
      <c r="L12" s="452" t="s">
        <v>84</v>
      </c>
      <c r="M12" s="452" t="s">
        <v>173</v>
      </c>
      <c r="N12" s="87">
        <v>92.896006</v>
      </c>
      <c r="O12" s="87">
        <v>20.154330999999999</v>
      </c>
      <c r="P12" s="452"/>
      <c r="Q12" s="331"/>
      <c r="R12" s="331"/>
      <c r="S12" s="332">
        <v>0</v>
      </c>
      <c r="T12" s="452" t="s">
        <v>352</v>
      </c>
      <c r="U12" s="452" t="s">
        <v>786</v>
      </c>
      <c r="V12" s="452" t="s">
        <v>21</v>
      </c>
      <c r="W12" s="452"/>
      <c r="X12" s="452"/>
      <c r="Y12" s="452"/>
      <c r="Z12" s="452"/>
      <c r="AA12" s="452" t="str">
        <f>CONCATENATE(Camp_List[[#This Row],[Ethnicity]],"-",Camp_List[[#This Row],[Religion]])</f>
        <v>-</v>
      </c>
      <c r="AB12" s="452"/>
      <c r="AC12" s="452" t="s">
        <v>805</v>
      </c>
      <c r="AD12" s="452" t="s">
        <v>515</v>
      </c>
      <c r="AE12" s="452" t="s">
        <v>531</v>
      </c>
      <c r="AF12" s="333">
        <v>41520</v>
      </c>
      <c r="AG12" s="452"/>
      <c r="AH12" s="87">
        <f>IFERROR(VLOOKUP(Camp_List[[#This Row],[Responsible Agency]],Organization_t[],3,0),"")</f>
        <v>0</v>
      </c>
      <c r="AI12" s="355">
        <f>IF((SUMIFS(Data_Shelter_t[Coverage],Data_Shelter_t[Pcode],Camp_List[[#This Row],[P_Code]]))&gt;1,1,SUMIFS(Data_Shelter_t[Coverage],Data_Shelter_t[Pcode],Camp_List[[#This Row],[P_Code]]))</f>
        <v>0</v>
      </c>
      <c r="BL12" s="21"/>
      <c r="BM12" s="21"/>
      <c r="BN12" s="81"/>
      <c r="BO12" s="81"/>
    </row>
    <row r="13" spans="1:67" ht="13.5" hidden="1" customHeight="1" x14ac:dyDescent="0.25">
      <c r="A13" s="452" t="s">
        <v>359</v>
      </c>
      <c r="B13" s="452" t="s">
        <v>7</v>
      </c>
      <c r="C13" s="452" t="s">
        <v>361</v>
      </c>
      <c r="D13" s="452" t="s">
        <v>19</v>
      </c>
      <c r="E13" s="452" t="s">
        <v>623</v>
      </c>
      <c r="F13" s="452" t="s">
        <v>19</v>
      </c>
      <c r="G13" s="452" t="s">
        <v>423</v>
      </c>
      <c r="H13" s="452"/>
      <c r="I13" s="452"/>
      <c r="J13" s="452"/>
      <c r="K13" s="452"/>
      <c r="L13" s="452" t="s">
        <v>94</v>
      </c>
      <c r="M13" s="452" t="s">
        <v>183</v>
      </c>
      <c r="N13" s="87">
        <v>92.893904000000006</v>
      </c>
      <c r="O13" s="87">
        <v>20.146673</v>
      </c>
      <c r="P13" s="452"/>
      <c r="Q13" s="331"/>
      <c r="R13" s="331"/>
      <c r="S13" s="332">
        <v>0</v>
      </c>
      <c r="T13" s="452" t="s">
        <v>352</v>
      </c>
      <c r="U13" s="452" t="s">
        <v>786</v>
      </c>
      <c r="V13" s="452" t="s">
        <v>21</v>
      </c>
      <c r="W13" s="452"/>
      <c r="X13" s="452"/>
      <c r="Y13" s="452"/>
      <c r="Z13" s="452"/>
      <c r="AA13" s="452" t="str">
        <f>CONCATENATE(Camp_List[[#This Row],[Ethnicity]],"-",Camp_List[[#This Row],[Religion]])</f>
        <v>-</v>
      </c>
      <c r="AB13" s="452"/>
      <c r="AC13" s="452" t="s">
        <v>805</v>
      </c>
      <c r="AD13" s="452" t="s">
        <v>515</v>
      </c>
      <c r="AE13" s="452" t="s">
        <v>531</v>
      </c>
      <c r="AF13" s="333">
        <v>41520</v>
      </c>
      <c r="AG13" s="452"/>
      <c r="AH13" s="87">
        <f>IFERROR(VLOOKUP(Camp_List[[#This Row],[Responsible Agency]],Organization_t[],3,0),"")</f>
        <v>0</v>
      </c>
      <c r="AI13" s="355">
        <f>IF((SUMIFS(Data_Shelter_t[Coverage],Data_Shelter_t[Pcode],Camp_List[[#This Row],[P_Code]]))&gt;1,1,SUMIFS(Data_Shelter_t[Coverage],Data_Shelter_t[Pcode],Camp_List[[#This Row],[P_Code]]))</f>
        <v>0</v>
      </c>
      <c r="BL13" s="21"/>
      <c r="BM13" s="21"/>
      <c r="BN13" s="81"/>
      <c r="BO13" s="81"/>
    </row>
    <row r="14" spans="1:67" ht="16.5" hidden="1" customHeight="1" x14ac:dyDescent="0.25">
      <c r="A14" s="452" t="s">
        <v>359</v>
      </c>
      <c r="B14" s="452" t="s">
        <v>7</v>
      </c>
      <c r="C14" s="452" t="s">
        <v>361</v>
      </c>
      <c r="D14" s="452" t="s">
        <v>19</v>
      </c>
      <c r="E14" s="452" t="s">
        <v>623</v>
      </c>
      <c r="F14" s="452" t="s">
        <v>19</v>
      </c>
      <c r="G14" s="452" t="s">
        <v>423</v>
      </c>
      <c r="H14" s="452" t="s">
        <v>446</v>
      </c>
      <c r="I14" s="452" t="s">
        <v>576</v>
      </c>
      <c r="J14" s="452"/>
      <c r="K14" s="452" t="s">
        <v>450</v>
      </c>
      <c r="L14" s="452" t="s">
        <v>85</v>
      </c>
      <c r="M14" s="452" t="s">
        <v>174</v>
      </c>
      <c r="N14" s="87">
        <v>92.897783000000004</v>
      </c>
      <c r="O14" s="87">
        <v>20.151050000000001</v>
      </c>
      <c r="P14" s="452"/>
      <c r="Q14" s="331"/>
      <c r="R14" s="331"/>
      <c r="S14" s="332">
        <v>0</v>
      </c>
      <c r="T14" s="452" t="s">
        <v>352</v>
      </c>
      <c r="U14" s="452" t="s">
        <v>786</v>
      </c>
      <c r="V14" s="452" t="s">
        <v>21</v>
      </c>
      <c r="W14" s="452"/>
      <c r="X14" s="452"/>
      <c r="Y14" s="452"/>
      <c r="Z14" s="452"/>
      <c r="AA14" s="452" t="str">
        <f>CONCATENATE(Camp_List[[#This Row],[Ethnicity]],"-",Camp_List[[#This Row],[Religion]])</f>
        <v>-</v>
      </c>
      <c r="AB14" s="452"/>
      <c r="AC14" s="452" t="s">
        <v>805</v>
      </c>
      <c r="AD14" s="452" t="s">
        <v>515</v>
      </c>
      <c r="AE14" s="452" t="s">
        <v>531</v>
      </c>
      <c r="AF14" s="333">
        <v>41520</v>
      </c>
      <c r="AG14" s="452"/>
      <c r="AH14" s="87">
        <f>IFERROR(VLOOKUP(Camp_List[[#This Row],[Responsible Agency]],Organization_t[],3,0),"")</f>
        <v>0</v>
      </c>
      <c r="AI14" s="355">
        <f>IF((SUMIFS(Data_Shelter_t[Coverage],Data_Shelter_t[Pcode],Camp_List[[#This Row],[P_Code]]))&gt;1,1,SUMIFS(Data_Shelter_t[Coverage],Data_Shelter_t[Pcode],Camp_List[[#This Row],[P_Code]]))</f>
        <v>0</v>
      </c>
      <c r="BL14" s="21"/>
      <c r="BM14" s="21"/>
      <c r="BN14" s="81"/>
      <c r="BO14" s="81"/>
    </row>
    <row r="15" spans="1:67" ht="22.5" hidden="1" customHeight="1" x14ac:dyDescent="0.25">
      <c r="A15" s="452" t="s">
        <v>359</v>
      </c>
      <c r="B15" s="452" t="s">
        <v>7</v>
      </c>
      <c r="C15" s="452" t="s">
        <v>361</v>
      </c>
      <c r="D15" s="452" t="s">
        <v>19</v>
      </c>
      <c r="E15" s="452" t="s">
        <v>623</v>
      </c>
      <c r="F15" s="452" t="s">
        <v>19</v>
      </c>
      <c r="G15" s="452" t="s">
        <v>423</v>
      </c>
      <c r="H15" s="452" t="s">
        <v>447</v>
      </c>
      <c r="I15" s="452" t="s">
        <v>576</v>
      </c>
      <c r="J15" s="452"/>
      <c r="K15" s="452" t="s">
        <v>452</v>
      </c>
      <c r="L15" s="452" t="s">
        <v>86</v>
      </c>
      <c r="M15" s="452" t="s">
        <v>175</v>
      </c>
      <c r="N15" s="87">
        <v>92.896944000000005</v>
      </c>
      <c r="O15" s="87">
        <v>20.150891999999999</v>
      </c>
      <c r="P15" s="452"/>
      <c r="Q15" s="331"/>
      <c r="R15" s="331"/>
      <c r="S15" s="332">
        <v>0</v>
      </c>
      <c r="T15" s="452" t="s">
        <v>352</v>
      </c>
      <c r="U15" s="452" t="s">
        <v>786</v>
      </c>
      <c r="V15" s="452" t="s">
        <v>21</v>
      </c>
      <c r="W15" s="452"/>
      <c r="X15" s="452"/>
      <c r="Y15" s="452"/>
      <c r="Z15" s="452"/>
      <c r="AA15" s="452" t="str">
        <f>CONCATENATE(Camp_List[[#This Row],[Ethnicity]],"-",Camp_List[[#This Row],[Religion]])</f>
        <v>-</v>
      </c>
      <c r="AB15" s="452"/>
      <c r="AC15" s="452" t="s">
        <v>805</v>
      </c>
      <c r="AD15" s="452" t="s">
        <v>515</v>
      </c>
      <c r="AE15" s="452" t="s">
        <v>531</v>
      </c>
      <c r="AF15" s="333">
        <v>41520</v>
      </c>
      <c r="AG15" s="452"/>
      <c r="AH15" s="87">
        <f>IFERROR(VLOOKUP(Camp_List[[#This Row],[Responsible Agency]],Organization_t[],3,0),"")</f>
        <v>0</v>
      </c>
      <c r="AI15" s="355">
        <f>IF((SUMIFS(Data_Shelter_t[Coverage],Data_Shelter_t[Pcode],Camp_List[[#This Row],[P_Code]]))&gt;1,1,SUMIFS(Data_Shelter_t[Coverage],Data_Shelter_t[Pcode],Camp_List[[#This Row],[P_Code]]))</f>
        <v>0</v>
      </c>
      <c r="BL15" s="21"/>
      <c r="BM15" s="21"/>
      <c r="BN15" s="81"/>
      <c r="BO15" s="81"/>
    </row>
    <row r="16" spans="1:67" ht="18.75" hidden="1" customHeight="1" x14ac:dyDescent="0.25">
      <c r="A16" s="452" t="s">
        <v>359</v>
      </c>
      <c r="B16" s="452" t="s">
        <v>7</v>
      </c>
      <c r="C16" s="452" t="s">
        <v>361</v>
      </c>
      <c r="D16" s="452" t="s">
        <v>19</v>
      </c>
      <c r="E16" s="452" t="s">
        <v>623</v>
      </c>
      <c r="F16" s="452" t="s">
        <v>19</v>
      </c>
      <c r="G16" s="452" t="s">
        <v>423</v>
      </c>
      <c r="H16" s="452" t="s">
        <v>434</v>
      </c>
      <c r="I16" s="452" t="s">
        <v>576</v>
      </c>
      <c r="J16" s="452"/>
      <c r="K16" s="452" t="s">
        <v>435</v>
      </c>
      <c r="L16" s="452" t="s">
        <v>87</v>
      </c>
      <c r="M16" s="452" t="s">
        <v>176</v>
      </c>
      <c r="N16" s="87">
        <v>92.894499999999994</v>
      </c>
      <c r="O16" s="87">
        <v>20.1462</v>
      </c>
      <c r="P16" s="452"/>
      <c r="Q16" s="331"/>
      <c r="R16" s="331"/>
      <c r="S16" s="332">
        <v>0</v>
      </c>
      <c r="T16" s="452" t="s">
        <v>352</v>
      </c>
      <c r="U16" s="452" t="s">
        <v>786</v>
      </c>
      <c r="V16" s="452" t="s">
        <v>21</v>
      </c>
      <c r="W16" s="452"/>
      <c r="X16" s="452"/>
      <c r="Y16" s="452"/>
      <c r="Z16" s="452"/>
      <c r="AA16" s="452" t="str">
        <f>CONCATENATE(Camp_List[[#This Row],[Ethnicity]],"-",Camp_List[[#This Row],[Religion]])</f>
        <v>-</v>
      </c>
      <c r="AB16" s="452"/>
      <c r="AC16" s="452" t="s">
        <v>805</v>
      </c>
      <c r="AD16" s="452" t="s">
        <v>515</v>
      </c>
      <c r="AE16" s="452" t="s">
        <v>531</v>
      </c>
      <c r="AF16" s="333">
        <v>41520</v>
      </c>
      <c r="AG16" s="452"/>
      <c r="AH16" s="87">
        <f>IFERROR(VLOOKUP(Camp_List[[#This Row],[Responsible Agency]],Organization_t[],3,0),"")</f>
        <v>0</v>
      </c>
      <c r="AI16" s="355">
        <f>IF((SUMIFS(Data_Shelter_t[Coverage],Data_Shelter_t[Pcode],Camp_List[[#This Row],[P_Code]]))&gt;1,1,SUMIFS(Data_Shelter_t[Coverage],Data_Shelter_t[Pcode],Camp_List[[#This Row],[P_Code]]))</f>
        <v>0</v>
      </c>
      <c r="BL16" s="21"/>
      <c r="BM16" s="21"/>
      <c r="BN16" s="81"/>
      <c r="BO16" s="81"/>
    </row>
    <row r="17" spans="1:68" ht="21.75" hidden="1" customHeight="1" x14ac:dyDescent="0.25">
      <c r="A17" s="452" t="s">
        <v>359</v>
      </c>
      <c r="B17" s="452" t="s">
        <v>7</v>
      </c>
      <c r="C17" s="452" t="s">
        <v>361</v>
      </c>
      <c r="D17" s="452" t="s">
        <v>19</v>
      </c>
      <c r="E17" s="452" t="s">
        <v>623</v>
      </c>
      <c r="F17" s="452" t="s">
        <v>19</v>
      </c>
      <c r="G17" s="452" t="s">
        <v>423</v>
      </c>
      <c r="H17" s="452" t="s">
        <v>445</v>
      </c>
      <c r="I17" s="452" t="s">
        <v>576</v>
      </c>
      <c r="J17" s="452"/>
      <c r="K17" s="452" t="s">
        <v>451</v>
      </c>
      <c r="L17" s="452" t="s">
        <v>90</v>
      </c>
      <c r="M17" s="452" t="s">
        <v>179</v>
      </c>
      <c r="N17" s="87">
        <v>92.897932999999995</v>
      </c>
      <c r="O17" s="87">
        <v>20.155850000000001</v>
      </c>
      <c r="P17" s="452"/>
      <c r="Q17" s="331"/>
      <c r="R17" s="331"/>
      <c r="S17" s="332">
        <v>0</v>
      </c>
      <c r="T17" s="452" t="s">
        <v>352</v>
      </c>
      <c r="U17" s="452" t="s">
        <v>786</v>
      </c>
      <c r="V17" s="452" t="s">
        <v>21</v>
      </c>
      <c r="W17" s="452"/>
      <c r="X17" s="452"/>
      <c r="Y17" s="452"/>
      <c r="Z17" s="452"/>
      <c r="AA17" s="452" t="str">
        <f>CONCATENATE(Camp_List[[#This Row],[Ethnicity]],"-",Camp_List[[#This Row],[Religion]])</f>
        <v>-</v>
      </c>
      <c r="AB17" s="452"/>
      <c r="AC17" s="452" t="s">
        <v>805</v>
      </c>
      <c r="AD17" s="452" t="s">
        <v>515</v>
      </c>
      <c r="AE17" s="452" t="s">
        <v>531</v>
      </c>
      <c r="AF17" s="333">
        <v>41520</v>
      </c>
      <c r="AG17" s="452"/>
      <c r="AH17" s="87">
        <f>IFERROR(VLOOKUP(Camp_List[[#This Row],[Responsible Agency]],Organization_t[],3,0),"")</f>
        <v>0</v>
      </c>
      <c r="AI17" s="355">
        <f>IF((SUMIFS(Data_Shelter_t[Coverage],Data_Shelter_t[Pcode],Camp_List[[#This Row],[P_Code]]))&gt;1,1,SUMIFS(Data_Shelter_t[Coverage],Data_Shelter_t[Pcode],Camp_List[[#This Row],[P_Code]]))</f>
        <v>0</v>
      </c>
      <c r="BL17" s="21"/>
      <c r="BM17" s="21"/>
      <c r="BN17" s="81"/>
      <c r="BO17" s="81"/>
    </row>
    <row r="18" spans="1:68" ht="21.75" hidden="1" customHeight="1" x14ac:dyDescent="0.25">
      <c r="A18" s="452" t="s">
        <v>359</v>
      </c>
      <c r="B18" s="452" t="s">
        <v>7</v>
      </c>
      <c r="C18" s="452" t="s">
        <v>361</v>
      </c>
      <c r="D18" s="452" t="s">
        <v>19</v>
      </c>
      <c r="E18" s="452" t="s">
        <v>623</v>
      </c>
      <c r="F18" s="452" t="s">
        <v>19</v>
      </c>
      <c r="G18" s="452" t="s">
        <v>423</v>
      </c>
      <c r="H18" s="452" t="s">
        <v>448</v>
      </c>
      <c r="I18" s="452" t="s">
        <v>576</v>
      </c>
      <c r="J18" s="452"/>
      <c r="K18" s="452" t="s">
        <v>453</v>
      </c>
      <c r="L18" s="452" t="s">
        <v>88</v>
      </c>
      <c r="M18" s="452" t="s">
        <v>177</v>
      </c>
      <c r="N18" s="87">
        <v>92.888949999999994</v>
      </c>
      <c r="O18" s="87">
        <v>20.125032999999998</v>
      </c>
      <c r="P18" s="452"/>
      <c r="Q18" s="331"/>
      <c r="R18" s="331"/>
      <c r="S18" s="332">
        <v>0</v>
      </c>
      <c r="T18" s="452" t="s">
        <v>352</v>
      </c>
      <c r="U18" s="452" t="s">
        <v>786</v>
      </c>
      <c r="V18" s="452" t="s">
        <v>21</v>
      </c>
      <c r="W18" s="452"/>
      <c r="X18" s="452"/>
      <c r="Y18" s="452"/>
      <c r="Z18" s="452"/>
      <c r="AA18" s="452" t="str">
        <f>CONCATENATE(Camp_List[[#This Row],[Ethnicity]],"-",Camp_List[[#This Row],[Religion]])</f>
        <v>-</v>
      </c>
      <c r="AB18" s="452"/>
      <c r="AC18" s="452" t="s">
        <v>805</v>
      </c>
      <c r="AD18" s="452" t="s">
        <v>515</v>
      </c>
      <c r="AE18" s="452" t="s">
        <v>531</v>
      </c>
      <c r="AF18" s="333">
        <v>41520</v>
      </c>
      <c r="AG18" s="452"/>
      <c r="AH18" s="87">
        <f>IFERROR(VLOOKUP(Camp_List[[#This Row],[Responsible Agency]],Organization_t[],3,0),"")</f>
        <v>0</v>
      </c>
      <c r="AI18" s="355">
        <f>IF((SUMIFS(Data_Shelter_t[Coverage],Data_Shelter_t[Pcode],Camp_List[[#This Row],[P_Code]]))&gt;1,1,SUMIFS(Data_Shelter_t[Coverage],Data_Shelter_t[Pcode],Camp_List[[#This Row],[P_Code]]))</f>
        <v>0</v>
      </c>
      <c r="BL18" s="21"/>
      <c r="BM18" s="21"/>
      <c r="BN18" s="81"/>
      <c r="BO18" s="81"/>
    </row>
    <row r="19" spans="1:68" ht="21.75" hidden="1" customHeight="1" x14ac:dyDescent="0.25">
      <c r="A19" s="452" t="s">
        <v>359</v>
      </c>
      <c r="B19" s="452" t="s">
        <v>7</v>
      </c>
      <c r="C19" s="452" t="s">
        <v>361</v>
      </c>
      <c r="D19" s="452" t="s">
        <v>19</v>
      </c>
      <c r="E19" s="452" t="s">
        <v>623</v>
      </c>
      <c r="F19" s="452" t="s">
        <v>19</v>
      </c>
      <c r="G19" s="452" t="s">
        <v>423</v>
      </c>
      <c r="H19" s="452" t="s">
        <v>449</v>
      </c>
      <c r="I19" s="452" t="s">
        <v>576</v>
      </c>
      <c r="J19" s="452"/>
      <c r="K19" s="452" t="s">
        <v>454</v>
      </c>
      <c r="L19" s="452" t="s">
        <v>92</v>
      </c>
      <c r="M19" s="452" t="s">
        <v>181</v>
      </c>
      <c r="N19" s="87">
        <v>92.892431999999999</v>
      </c>
      <c r="O19" s="87">
        <v>20.146041</v>
      </c>
      <c r="P19" s="452"/>
      <c r="Q19" s="331"/>
      <c r="R19" s="331"/>
      <c r="S19" s="332">
        <v>0</v>
      </c>
      <c r="T19" s="452" t="s">
        <v>352</v>
      </c>
      <c r="U19" s="452" t="s">
        <v>786</v>
      </c>
      <c r="V19" s="452" t="s">
        <v>21</v>
      </c>
      <c r="W19" s="452"/>
      <c r="X19" s="452"/>
      <c r="Y19" s="452"/>
      <c r="Z19" s="452"/>
      <c r="AA19" s="452" t="str">
        <f>CONCATENATE(Camp_List[[#This Row],[Ethnicity]],"-",Camp_List[[#This Row],[Religion]])</f>
        <v>-</v>
      </c>
      <c r="AB19" s="452"/>
      <c r="AC19" s="452" t="s">
        <v>805</v>
      </c>
      <c r="AD19" s="452" t="s">
        <v>515</v>
      </c>
      <c r="AE19" s="452" t="s">
        <v>531</v>
      </c>
      <c r="AF19" s="333">
        <v>41520</v>
      </c>
      <c r="AG19" s="452"/>
      <c r="AH19" s="87">
        <f>IFERROR(VLOOKUP(Camp_List[[#This Row],[Responsible Agency]],Organization_t[],3,0),"")</f>
        <v>0</v>
      </c>
      <c r="AI19" s="355">
        <f>IF((SUMIFS(Data_Shelter_t[Coverage],Data_Shelter_t[Pcode],Camp_List[[#This Row],[P_Code]]))&gt;1,1,SUMIFS(Data_Shelter_t[Coverage],Data_Shelter_t[Pcode],Camp_List[[#This Row],[P_Code]]))</f>
        <v>0</v>
      </c>
      <c r="BL19" s="21"/>
      <c r="BM19" s="21"/>
      <c r="BN19" s="81"/>
      <c r="BO19" s="81"/>
    </row>
    <row r="20" spans="1:68" ht="19.5" hidden="1" customHeight="1" x14ac:dyDescent="0.25">
      <c r="A20" s="452" t="s">
        <v>359</v>
      </c>
      <c r="B20" s="452" t="s">
        <v>7</v>
      </c>
      <c r="C20" s="452" t="s">
        <v>361</v>
      </c>
      <c r="D20" s="452" t="s">
        <v>19</v>
      </c>
      <c r="E20" s="452" t="s">
        <v>623</v>
      </c>
      <c r="F20" s="452" t="s">
        <v>19</v>
      </c>
      <c r="G20" s="452" t="s">
        <v>423</v>
      </c>
      <c r="H20" s="452" t="s">
        <v>434</v>
      </c>
      <c r="I20" s="452" t="s">
        <v>576</v>
      </c>
      <c r="J20" s="452"/>
      <c r="K20" s="452" t="s">
        <v>435</v>
      </c>
      <c r="L20" s="452" t="s">
        <v>89</v>
      </c>
      <c r="M20" s="452" t="s">
        <v>178</v>
      </c>
      <c r="N20" s="87">
        <v>92.896417999999997</v>
      </c>
      <c r="O20" s="87">
        <v>20.152895000000001</v>
      </c>
      <c r="P20" s="452"/>
      <c r="Q20" s="331"/>
      <c r="R20" s="331"/>
      <c r="S20" s="332">
        <v>0</v>
      </c>
      <c r="T20" s="452" t="s">
        <v>352</v>
      </c>
      <c r="U20" s="452" t="s">
        <v>786</v>
      </c>
      <c r="V20" s="452" t="s">
        <v>21</v>
      </c>
      <c r="W20" s="452"/>
      <c r="X20" s="452"/>
      <c r="Y20" s="452"/>
      <c r="Z20" s="452"/>
      <c r="AA20" s="452" t="str">
        <f>CONCATENATE(Camp_List[[#This Row],[Ethnicity]],"-",Camp_List[[#This Row],[Religion]])</f>
        <v>-</v>
      </c>
      <c r="AB20" s="452"/>
      <c r="AC20" s="452" t="s">
        <v>805</v>
      </c>
      <c r="AD20" s="452" t="s">
        <v>515</v>
      </c>
      <c r="AE20" s="452" t="s">
        <v>531</v>
      </c>
      <c r="AF20" s="333">
        <v>41520</v>
      </c>
      <c r="AG20" s="452"/>
      <c r="AH20" s="87">
        <f>IFERROR(VLOOKUP(Camp_List[[#This Row],[Responsible Agency]],Organization_t[],3,0),"")</f>
        <v>0</v>
      </c>
      <c r="AI20" s="355">
        <f>IF((SUMIFS(Data_Shelter_t[Coverage],Data_Shelter_t[Pcode],Camp_List[[#This Row],[P_Code]]))&gt;1,1,SUMIFS(Data_Shelter_t[Coverage],Data_Shelter_t[Pcode],Camp_List[[#This Row],[P_Code]]))</f>
        <v>0</v>
      </c>
      <c r="BL20" s="21"/>
      <c r="BM20" s="21"/>
      <c r="BN20" s="81"/>
      <c r="BO20" s="81"/>
    </row>
    <row r="21" spans="1:68" ht="21.75" hidden="1" customHeight="1" x14ac:dyDescent="0.25">
      <c r="A21" s="452" t="s">
        <v>359</v>
      </c>
      <c r="B21" s="452" t="s">
        <v>7</v>
      </c>
      <c r="C21" s="452" t="s">
        <v>361</v>
      </c>
      <c r="D21" s="452" t="s">
        <v>19</v>
      </c>
      <c r="E21" s="452" t="s">
        <v>623</v>
      </c>
      <c r="F21" s="452" t="s">
        <v>19</v>
      </c>
      <c r="G21" s="452" t="s">
        <v>423</v>
      </c>
      <c r="H21" s="452" t="s">
        <v>445</v>
      </c>
      <c r="I21" s="452" t="s">
        <v>576</v>
      </c>
      <c r="J21" s="452"/>
      <c r="K21" s="452" t="s">
        <v>451</v>
      </c>
      <c r="L21" s="452" t="s">
        <v>97</v>
      </c>
      <c r="M21" s="452" t="s">
        <v>186</v>
      </c>
      <c r="N21" s="87">
        <v>92.896533000000005</v>
      </c>
      <c r="O21" s="87">
        <v>20.15465</v>
      </c>
      <c r="P21" s="452"/>
      <c r="Q21" s="331"/>
      <c r="R21" s="331"/>
      <c r="S21" s="332">
        <v>0</v>
      </c>
      <c r="T21" s="452" t="s">
        <v>352</v>
      </c>
      <c r="U21" s="452" t="s">
        <v>786</v>
      </c>
      <c r="V21" s="452" t="s">
        <v>21</v>
      </c>
      <c r="W21" s="452"/>
      <c r="X21" s="452"/>
      <c r="Y21" s="452"/>
      <c r="Z21" s="452"/>
      <c r="AA21" s="452" t="str">
        <f>CONCATENATE(Camp_List[[#This Row],[Ethnicity]],"-",Camp_List[[#This Row],[Religion]])</f>
        <v>-</v>
      </c>
      <c r="AB21" s="452"/>
      <c r="AC21" s="452" t="s">
        <v>805</v>
      </c>
      <c r="AD21" s="452" t="s">
        <v>515</v>
      </c>
      <c r="AE21" s="452" t="s">
        <v>531</v>
      </c>
      <c r="AF21" s="333">
        <v>41520</v>
      </c>
      <c r="AG21" s="452"/>
      <c r="AH21" s="87">
        <f>IFERROR(VLOOKUP(Camp_List[[#This Row],[Responsible Agency]],Organization_t[],3,0),"")</f>
        <v>0</v>
      </c>
      <c r="AI21" s="355">
        <f>IF((SUMIFS(Data_Shelter_t[Coverage],Data_Shelter_t[Pcode],Camp_List[[#This Row],[P_Code]]))&gt;1,1,SUMIFS(Data_Shelter_t[Coverage],Data_Shelter_t[Pcode],Camp_List[[#This Row],[P_Code]]))</f>
        <v>0</v>
      </c>
      <c r="BL21" s="21"/>
      <c r="BM21" s="21"/>
      <c r="BN21" s="81"/>
      <c r="BO21" s="81"/>
    </row>
    <row r="22" spans="1:68" ht="23.25" hidden="1" customHeight="1" x14ac:dyDescent="0.25">
      <c r="A22" s="452" t="s">
        <v>359</v>
      </c>
      <c r="B22" s="452" t="s">
        <v>7</v>
      </c>
      <c r="C22" s="452" t="s">
        <v>361</v>
      </c>
      <c r="D22" s="452" t="s">
        <v>19</v>
      </c>
      <c r="E22" s="452" t="s">
        <v>623</v>
      </c>
      <c r="F22" s="452" t="s">
        <v>19</v>
      </c>
      <c r="G22" s="452" t="s">
        <v>423</v>
      </c>
      <c r="H22" s="452" t="s">
        <v>449</v>
      </c>
      <c r="I22" s="452" t="s">
        <v>576</v>
      </c>
      <c r="J22" s="452"/>
      <c r="K22" s="452" t="s">
        <v>454</v>
      </c>
      <c r="L22" s="452" t="s">
        <v>96</v>
      </c>
      <c r="M22" s="452" t="s">
        <v>185</v>
      </c>
      <c r="N22" s="87">
        <v>92.893332999999998</v>
      </c>
      <c r="O22" s="87">
        <v>20.146117</v>
      </c>
      <c r="P22" s="452"/>
      <c r="Q22" s="331"/>
      <c r="R22" s="331"/>
      <c r="S22" s="332">
        <v>0</v>
      </c>
      <c r="T22" s="452" t="s">
        <v>352</v>
      </c>
      <c r="U22" s="452" t="s">
        <v>786</v>
      </c>
      <c r="V22" s="452" t="s">
        <v>21</v>
      </c>
      <c r="W22" s="452"/>
      <c r="X22" s="452"/>
      <c r="Y22" s="452"/>
      <c r="Z22" s="452"/>
      <c r="AA22" s="452" t="str">
        <f>CONCATENATE(Camp_List[[#This Row],[Ethnicity]],"-",Camp_List[[#This Row],[Religion]])</f>
        <v>-</v>
      </c>
      <c r="AB22" s="452"/>
      <c r="AC22" s="452" t="s">
        <v>805</v>
      </c>
      <c r="AD22" s="452" t="s">
        <v>515</v>
      </c>
      <c r="AE22" s="452" t="s">
        <v>531</v>
      </c>
      <c r="AF22" s="333">
        <v>41520</v>
      </c>
      <c r="AG22" s="452"/>
      <c r="AH22" s="87">
        <f>IFERROR(VLOOKUP(Camp_List[[#This Row],[Responsible Agency]],Organization_t[],3,0),"")</f>
        <v>0</v>
      </c>
      <c r="AI22" s="355">
        <f>IF((SUMIFS(Data_Shelter_t[Coverage],Data_Shelter_t[Pcode],Camp_List[[#This Row],[P_Code]]))&gt;1,1,SUMIFS(Data_Shelter_t[Coverage],Data_Shelter_t[Pcode],Camp_List[[#This Row],[P_Code]]))</f>
        <v>0</v>
      </c>
      <c r="BL22" s="21"/>
      <c r="BM22" s="21"/>
      <c r="BN22" s="81"/>
      <c r="BO22" s="81"/>
    </row>
    <row r="23" spans="1:68" ht="15.75" customHeight="1" x14ac:dyDescent="0.25">
      <c r="A23" s="452" t="s">
        <v>358</v>
      </c>
      <c r="B23" s="452" t="s">
        <v>7</v>
      </c>
      <c r="C23" s="452" t="s">
        <v>361</v>
      </c>
      <c r="D23" s="452" t="s">
        <v>627</v>
      </c>
      <c r="E23" s="452" t="s">
        <v>628</v>
      </c>
      <c r="F23" s="452" t="s">
        <v>17</v>
      </c>
      <c r="G23" s="452" t="s">
        <v>416</v>
      </c>
      <c r="H23" s="452" t="s">
        <v>421</v>
      </c>
      <c r="I23" s="452" t="s">
        <v>422</v>
      </c>
      <c r="J23" s="452" t="s">
        <v>483</v>
      </c>
      <c r="K23" s="452">
        <v>198486</v>
      </c>
      <c r="L23" s="452" t="s">
        <v>58</v>
      </c>
      <c r="M23" s="452" t="s">
        <v>146</v>
      </c>
      <c r="N23" s="87">
        <v>93.512326000000002</v>
      </c>
      <c r="O23" s="87">
        <v>19.424576999999999</v>
      </c>
      <c r="P23" s="452"/>
      <c r="Q23" s="331">
        <v>427</v>
      </c>
      <c r="R23" s="331">
        <v>1274</v>
      </c>
      <c r="S23" s="332">
        <v>2.9836065573770494</v>
      </c>
      <c r="T23" s="452" t="s">
        <v>352</v>
      </c>
      <c r="U23" s="452" t="s">
        <v>786</v>
      </c>
      <c r="V23" s="452" t="s">
        <v>22</v>
      </c>
      <c r="W23" s="460"/>
      <c r="X23" s="452"/>
      <c r="Y23" s="452" t="s">
        <v>805</v>
      </c>
      <c r="Z23" s="452" t="s">
        <v>680</v>
      </c>
      <c r="AA23" s="452" t="str">
        <f>CONCATENATE(Camp_List[[#This Row],[Ethnicity]],"-",Camp_List[[#This Row],[Religion]])</f>
        <v xml:space="preserve"> -Muslim</v>
      </c>
      <c r="AB23" s="452" t="s">
        <v>688</v>
      </c>
      <c r="AC23" s="452" t="s">
        <v>288</v>
      </c>
      <c r="AD23" s="452" t="s">
        <v>515</v>
      </c>
      <c r="AE23" s="452" t="s">
        <v>531</v>
      </c>
      <c r="AF23" s="333">
        <v>42097</v>
      </c>
      <c r="AG23" s="452"/>
      <c r="AH23" s="87" t="str">
        <f>IFERROR(VLOOKUP(Camp_List[[#This Row],[Responsible Agency]],Organization_t[],3,0),"")</f>
        <v>Richard Warren</v>
      </c>
      <c r="AI23" s="355">
        <f ca="1">IF((SUMIFS(Data_Shelter_t[Coverage],Data_Shelter_t[Pcode],Camp_List[[#This Row],[P_Code]]))&gt;1,1,SUMIFS(Data_Shelter_t[Coverage],Data_Shelter_t[Pcode],Camp_List[[#This Row],[P_Code]]))</f>
        <v>0.99297423887587821</v>
      </c>
      <c r="BL23" s="21"/>
      <c r="BM23" s="21"/>
      <c r="BN23" s="81"/>
      <c r="BO23" s="81"/>
    </row>
    <row r="24" spans="1:68" ht="15" customHeight="1" x14ac:dyDescent="0.25">
      <c r="A24" s="452" t="s">
        <v>358</v>
      </c>
      <c r="B24" s="452" t="s">
        <v>7</v>
      </c>
      <c r="C24" s="452" t="s">
        <v>361</v>
      </c>
      <c r="D24" s="452" t="s">
        <v>19</v>
      </c>
      <c r="E24" s="452" t="s">
        <v>623</v>
      </c>
      <c r="F24" s="452" t="s">
        <v>15</v>
      </c>
      <c r="G24" s="452" t="s">
        <v>391</v>
      </c>
      <c r="H24" s="452" t="s">
        <v>404</v>
      </c>
      <c r="I24" s="452" t="s">
        <v>403</v>
      </c>
      <c r="J24" s="452" t="s">
        <v>46</v>
      </c>
      <c r="K24" s="452">
        <v>196786</v>
      </c>
      <c r="L24" s="452" t="s">
        <v>46</v>
      </c>
      <c r="M24" s="452" t="s">
        <v>133</v>
      </c>
      <c r="N24" s="87">
        <v>93.003204999999994</v>
      </c>
      <c r="O24" s="87">
        <v>20.921424999999999</v>
      </c>
      <c r="P24" s="452"/>
      <c r="Q24" s="331">
        <v>24</v>
      </c>
      <c r="R24" s="331">
        <v>140</v>
      </c>
      <c r="S24" s="332">
        <v>6.0869565217391308</v>
      </c>
      <c r="T24" s="452" t="s">
        <v>352</v>
      </c>
      <c r="U24" s="452" t="s">
        <v>786</v>
      </c>
      <c r="V24" s="452" t="s">
        <v>854</v>
      </c>
      <c r="W24" s="460" t="s">
        <v>909</v>
      </c>
      <c r="X24" s="452"/>
      <c r="Y24" s="452" t="s">
        <v>805</v>
      </c>
      <c r="Z24" s="452" t="s">
        <v>680</v>
      </c>
      <c r="AA24" s="452" t="str">
        <f>CONCATENATE(Camp_List[[#This Row],[Ethnicity]],"-",Camp_List[[#This Row],[Religion]])</f>
        <v xml:space="preserve"> -Muslim</v>
      </c>
      <c r="AB24" s="452" t="s">
        <v>688</v>
      </c>
      <c r="AC24" s="452" t="s">
        <v>288</v>
      </c>
      <c r="AD24" s="452" t="s">
        <v>515</v>
      </c>
      <c r="AE24" s="452" t="s">
        <v>531</v>
      </c>
      <c r="AF24" s="333">
        <v>42097</v>
      </c>
      <c r="AG24" s="452"/>
      <c r="AH24" s="87" t="str">
        <f>IFERROR(VLOOKUP(Camp_List[[#This Row],[Responsible Agency]],Organization_t[],3,0),"")</f>
        <v>Richard Warren</v>
      </c>
      <c r="AI24" s="355">
        <f ca="1">IF((SUMIFS(Data_Shelter_t[Coverage],Data_Shelter_t[Pcode],Camp_List[[#This Row],[P_Code]]))&gt;1,1,SUMIFS(Data_Shelter_t[Coverage],Data_Shelter_t[Pcode],Camp_List[[#This Row],[P_Code]]))</f>
        <v>1</v>
      </c>
      <c r="BL24" s="21"/>
      <c r="BM24" s="21"/>
      <c r="BN24" s="81"/>
      <c r="BO24" s="81"/>
    </row>
    <row r="25" spans="1:68" ht="15" customHeight="1" x14ac:dyDescent="0.25">
      <c r="A25" s="452" t="s">
        <v>358</v>
      </c>
      <c r="B25" s="452" t="s">
        <v>7</v>
      </c>
      <c r="C25" s="452" t="s">
        <v>361</v>
      </c>
      <c r="D25" s="452" t="s">
        <v>19</v>
      </c>
      <c r="E25" s="452" t="s">
        <v>623</v>
      </c>
      <c r="F25" s="452" t="s">
        <v>15</v>
      </c>
      <c r="G25" s="452" t="s">
        <v>391</v>
      </c>
      <c r="H25" s="452" t="s">
        <v>49</v>
      </c>
      <c r="I25" s="452" t="s">
        <v>407</v>
      </c>
      <c r="J25" s="452" t="s">
        <v>491</v>
      </c>
      <c r="K25" s="452">
        <v>196842</v>
      </c>
      <c r="L25" s="452" t="s">
        <v>49</v>
      </c>
      <c r="M25" s="452" t="s">
        <v>136</v>
      </c>
      <c r="N25" s="87">
        <v>93.014349999999993</v>
      </c>
      <c r="O25" s="87">
        <v>20.896740000000001</v>
      </c>
      <c r="P25" s="452"/>
      <c r="Q25" s="331">
        <v>14</v>
      </c>
      <c r="R25" s="331">
        <v>84</v>
      </c>
      <c r="S25" s="332">
        <v>6</v>
      </c>
      <c r="T25" s="452" t="s">
        <v>352</v>
      </c>
      <c r="U25" s="452" t="s">
        <v>786</v>
      </c>
      <c r="V25" s="452" t="s">
        <v>854</v>
      </c>
      <c r="W25" s="460" t="s">
        <v>909</v>
      </c>
      <c r="X25" s="452"/>
      <c r="Y25" s="452" t="s">
        <v>805</v>
      </c>
      <c r="Z25" s="452" t="s">
        <v>680</v>
      </c>
      <c r="AA25" s="452" t="str">
        <f>CONCATENATE(Camp_List[[#This Row],[Ethnicity]],"-",Camp_List[[#This Row],[Religion]])</f>
        <v xml:space="preserve"> -Muslim</v>
      </c>
      <c r="AB25" s="452" t="s">
        <v>688</v>
      </c>
      <c r="AC25" s="452" t="s">
        <v>288</v>
      </c>
      <c r="AD25" s="452" t="s">
        <v>515</v>
      </c>
      <c r="AE25" s="452" t="s">
        <v>531</v>
      </c>
      <c r="AF25" s="333">
        <v>42097</v>
      </c>
      <c r="AG25" s="452"/>
      <c r="AH25" s="87" t="str">
        <f>IFERROR(VLOOKUP(Camp_List[[#This Row],[Responsible Agency]],Organization_t[],3,0),"")</f>
        <v>Richard Warren</v>
      </c>
      <c r="AI25" s="355">
        <f ca="1">IF((SUMIFS(Data_Shelter_t[Coverage],Data_Shelter_t[Pcode],Camp_List[[#This Row],[P_Code]]))&gt;1,1,SUMIFS(Data_Shelter_t[Coverage],Data_Shelter_t[Pcode],Camp_List[[#This Row],[P_Code]]))</f>
        <v>1</v>
      </c>
      <c r="BL25" s="21"/>
      <c r="BM25" s="21"/>
      <c r="BN25" s="81"/>
      <c r="BO25" s="81"/>
    </row>
    <row r="26" spans="1:68" ht="15" customHeight="1" x14ac:dyDescent="0.25">
      <c r="A26" s="452" t="s">
        <v>358</v>
      </c>
      <c r="B26" s="452" t="s">
        <v>7</v>
      </c>
      <c r="C26" s="452" t="s">
        <v>361</v>
      </c>
      <c r="D26" s="452" t="s">
        <v>19</v>
      </c>
      <c r="E26" s="452" t="s">
        <v>623</v>
      </c>
      <c r="F26" s="452" t="s">
        <v>15</v>
      </c>
      <c r="G26" s="452" t="s">
        <v>391</v>
      </c>
      <c r="H26" s="452" t="s">
        <v>398</v>
      </c>
      <c r="I26" s="452" t="s">
        <v>397</v>
      </c>
      <c r="J26" s="452" t="s">
        <v>398</v>
      </c>
      <c r="K26" s="452">
        <v>196946</v>
      </c>
      <c r="L26" s="452" t="s">
        <v>48</v>
      </c>
      <c r="M26" s="452" t="s">
        <v>135</v>
      </c>
      <c r="N26" s="87">
        <v>92.961841000000007</v>
      </c>
      <c r="O26" s="87">
        <v>20.720213000000001</v>
      </c>
      <c r="P26" s="452"/>
      <c r="Q26" s="331">
        <v>92</v>
      </c>
      <c r="R26" s="331">
        <v>559</v>
      </c>
      <c r="S26" s="332">
        <v>6.0760869565217392</v>
      </c>
      <c r="T26" s="452" t="s">
        <v>352</v>
      </c>
      <c r="U26" s="452" t="s">
        <v>786</v>
      </c>
      <c r="V26" s="452" t="s">
        <v>854</v>
      </c>
      <c r="W26" s="460" t="s">
        <v>909</v>
      </c>
      <c r="X26" s="452"/>
      <c r="Y26" s="452" t="s">
        <v>805</v>
      </c>
      <c r="Z26" s="452" t="s">
        <v>680</v>
      </c>
      <c r="AA26" s="452" t="str">
        <f>CONCATENATE(Camp_List[[#This Row],[Ethnicity]],"-",Camp_List[[#This Row],[Religion]])</f>
        <v xml:space="preserve"> -Muslim</v>
      </c>
      <c r="AB26" s="452" t="s">
        <v>688</v>
      </c>
      <c r="AC26" s="452" t="s">
        <v>288</v>
      </c>
      <c r="AD26" s="452" t="s">
        <v>515</v>
      </c>
      <c r="AE26" s="452" t="s">
        <v>976</v>
      </c>
      <c r="AF26" s="333">
        <v>42156</v>
      </c>
      <c r="AG26" s="452"/>
      <c r="AH26" s="87" t="str">
        <f>IFERROR(VLOOKUP(Camp_List[[#This Row],[Responsible Agency]],Organization_t[],3,0),"")</f>
        <v>Richard Warren</v>
      </c>
      <c r="AI26" s="355">
        <f ca="1">IF((SUMIFS(Data_Shelter_t[Coverage],Data_Shelter_t[Pcode],Camp_List[[#This Row],[P_Code]]))&gt;1,1,SUMIFS(Data_Shelter_t[Coverage],Data_Shelter_t[Pcode],Camp_List[[#This Row],[P_Code]]))</f>
        <v>1</v>
      </c>
      <c r="BL26" s="21"/>
      <c r="BM26" s="21"/>
      <c r="BN26" s="81"/>
      <c r="BO26" s="81"/>
    </row>
    <row r="27" spans="1:68" ht="16.5" customHeight="1" x14ac:dyDescent="0.25">
      <c r="A27" s="452" t="s">
        <v>358</v>
      </c>
      <c r="B27" s="452" t="s">
        <v>7</v>
      </c>
      <c r="C27" s="452" t="s">
        <v>361</v>
      </c>
      <c r="D27" s="452" t="s">
        <v>19</v>
      </c>
      <c r="E27" s="452" t="s">
        <v>623</v>
      </c>
      <c r="F27" s="452" t="s">
        <v>15</v>
      </c>
      <c r="G27" s="452" t="s">
        <v>391</v>
      </c>
      <c r="H27" s="452" t="s">
        <v>51</v>
      </c>
      <c r="I27" s="452" t="s">
        <v>396</v>
      </c>
      <c r="J27" s="452" t="s">
        <v>486</v>
      </c>
      <c r="K27" s="452">
        <v>196972</v>
      </c>
      <c r="L27" s="452" t="s">
        <v>51</v>
      </c>
      <c r="M27" s="452" t="s">
        <v>138</v>
      </c>
      <c r="N27" s="87">
        <v>93.014089999999996</v>
      </c>
      <c r="O27" s="87">
        <v>20.713259999999998</v>
      </c>
      <c r="P27" s="452"/>
      <c r="Q27" s="331">
        <v>116</v>
      </c>
      <c r="R27" s="331">
        <v>802</v>
      </c>
      <c r="S27" s="332">
        <v>6.8879310344827589</v>
      </c>
      <c r="T27" s="452" t="s">
        <v>352</v>
      </c>
      <c r="U27" s="452" t="s">
        <v>786</v>
      </c>
      <c r="V27" s="452" t="s">
        <v>854</v>
      </c>
      <c r="W27" s="460" t="s">
        <v>909</v>
      </c>
      <c r="X27" s="452"/>
      <c r="Y27" s="452" t="s">
        <v>805</v>
      </c>
      <c r="Z27" s="452" t="s">
        <v>680</v>
      </c>
      <c r="AA27" s="452" t="str">
        <f>CONCATENATE(Camp_List[[#This Row],[Ethnicity]],"-",Camp_List[[#This Row],[Religion]])</f>
        <v xml:space="preserve"> -Muslim</v>
      </c>
      <c r="AB27" s="452" t="s">
        <v>688</v>
      </c>
      <c r="AC27" s="452" t="s">
        <v>288</v>
      </c>
      <c r="AD27" s="452" t="s">
        <v>515</v>
      </c>
      <c r="AE27" s="452" t="s">
        <v>976</v>
      </c>
      <c r="AF27" s="333">
        <v>42156</v>
      </c>
      <c r="AG27" s="452"/>
      <c r="AH27" s="87" t="str">
        <f>IFERROR(VLOOKUP(Camp_List[[#This Row],[Responsible Agency]],Organization_t[],3,0),"")</f>
        <v>Richard Warren</v>
      </c>
      <c r="AI27" s="355">
        <f ca="1">IF((SUMIFS(Data_Shelter_t[Coverage],Data_Shelter_t[Pcode],Camp_List[[#This Row],[P_Code]]))&gt;1,1,SUMIFS(Data_Shelter_t[Coverage],Data_Shelter_t[Pcode],Camp_List[[#This Row],[P_Code]]))</f>
        <v>0.68965517241379315</v>
      </c>
      <c r="BL27" s="21"/>
      <c r="BM27" s="21"/>
      <c r="BN27" s="81"/>
      <c r="BO27" s="81"/>
    </row>
    <row r="28" spans="1:68" ht="15" customHeight="1" x14ac:dyDescent="0.25">
      <c r="A28" s="452" t="s">
        <v>358</v>
      </c>
      <c r="B28" s="452" t="s">
        <v>7</v>
      </c>
      <c r="C28" s="452" t="s">
        <v>361</v>
      </c>
      <c r="D28" s="452" t="s">
        <v>19</v>
      </c>
      <c r="E28" s="452" t="s">
        <v>623</v>
      </c>
      <c r="F28" s="452" t="s">
        <v>15</v>
      </c>
      <c r="G28" s="452" t="s">
        <v>391</v>
      </c>
      <c r="H28" s="452" t="s">
        <v>393</v>
      </c>
      <c r="I28" s="452" t="s">
        <v>392</v>
      </c>
      <c r="J28" s="452" t="s">
        <v>50</v>
      </c>
      <c r="K28" s="456">
        <v>196945</v>
      </c>
      <c r="L28" s="452" t="s">
        <v>50</v>
      </c>
      <c r="M28" s="452" t="s">
        <v>137</v>
      </c>
      <c r="N28" s="87">
        <v>93.009900000000002</v>
      </c>
      <c r="O28" s="87">
        <v>20.696819999999999</v>
      </c>
      <c r="P28" s="452"/>
      <c r="Q28" s="331">
        <v>236</v>
      </c>
      <c r="R28" s="331">
        <v>1524</v>
      </c>
      <c r="S28" s="332">
        <v>6.4576271186440675</v>
      </c>
      <c r="T28" s="452" t="s">
        <v>352</v>
      </c>
      <c r="U28" s="452" t="s">
        <v>786</v>
      </c>
      <c r="V28" s="452" t="s">
        <v>854</v>
      </c>
      <c r="W28" s="460" t="s">
        <v>909</v>
      </c>
      <c r="X28" s="452"/>
      <c r="Y28" s="452" t="s">
        <v>805</v>
      </c>
      <c r="Z28" s="452" t="s">
        <v>680</v>
      </c>
      <c r="AA28" s="452" t="str">
        <f>CONCATENATE(Camp_List[[#This Row],[Ethnicity]],"-",Camp_List[[#This Row],[Religion]])</f>
        <v xml:space="preserve"> -Muslim</v>
      </c>
      <c r="AB28" s="452" t="s">
        <v>688</v>
      </c>
      <c r="AC28" s="452" t="s">
        <v>288</v>
      </c>
      <c r="AD28" s="452" t="s">
        <v>515</v>
      </c>
      <c r="AE28" s="452" t="s">
        <v>976</v>
      </c>
      <c r="AF28" s="333">
        <v>42156</v>
      </c>
      <c r="AG28" s="452"/>
      <c r="AH28" s="87" t="str">
        <f>IFERROR(VLOOKUP(Camp_List[[#This Row],[Responsible Agency]],Organization_t[],3,0),"")</f>
        <v>Richard Warren</v>
      </c>
      <c r="AI28" s="355">
        <f ca="1">IF((SUMIFS(Data_Shelter_t[Coverage],Data_Shelter_t[Pcode],Camp_List[[#This Row],[P_Code]]))&gt;1,1,SUMIFS(Data_Shelter_t[Coverage],Data_Shelter_t[Pcode],Camp_List[[#This Row],[P_Code]]))</f>
        <v>0.98305084745762716</v>
      </c>
      <c r="BL28" s="21"/>
      <c r="BM28" s="21"/>
      <c r="BN28" s="81"/>
      <c r="BO28" s="81"/>
    </row>
    <row r="29" spans="1:68" ht="15" customHeight="1" x14ac:dyDescent="0.25">
      <c r="A29" s="452" t="s">
        <v>358</v>
      </c>
      <c r="B29" s="452" t="s">
        <v>7</v>
      </c>
      <c r="C29" s="452" t="s">
        <v>361</v>
      </c>
      <c r="D29" s="452" t="s">
        <v>19</v>
      </c>
      <c r="E29" s="452" t="s">
        <v>623</v>
      </c>
      <c r="F29" s="452" t="s">
        <v>15</v>
      </c>
      <c r="G29" s="452" t="s">
        <v>391</v>
      </c>
      <c r="H29" s="452" t="s">
        <v>395</v>
      </c>
      <c r="I29" s="452" t="s">
        <v>394</v>
      </c>
      <c r="J29" s="452" t="s">
        <v>485</v>
      </c>
      <c r="K29" s="452">
        <v>196838</v>
      </c>
      <c r="L29" s="452" t="s">
        <v>54</v>
      </c>
      <c r="M29" s="452" t="s">
        <v>141</v>
      </c>
      <c r="N29" s="87">
        <v>93.006497999999993</v>
      </c>
      <c r="O29" s="87">
        <v>20.886997999999998</v>
      </c>
      <c r="P29" s="452"/>
      <c r="Q29" s="331">
        <v>97</v>
      </c>
      <c r="R29" s="331">
        <v>557</v>
      </c>
      <c r="S29" s="332">
        <v>5.9381443298969074</v>
      </c>
      <c r="T29" s="452" t="s">
        <v>352</v>
      </c>
      <c r="U29" s="452" t="s">
        <v>786</v>
      </c>
      <c r="V29" s="452" t="s">
        <v>23</v>
      </c>
      <c r="W29" s="460" t="s">
        <v>909</v>
      </c>
      <c r="X29" s="452"/>
      <c r="Y29" s="452" t="s">
        <v>805</v>
      </c>
      <c r="Z29" s="452" t="s">
        <v>680</v>
      </c>
      <c r="AA29" s="452" t="str">
        <f>CONCATENATE(Camp_List[[#This Row],[Ethnicity]],"-",Camp_List[[#This Row],[Religion]])</f>
        <v xml:space="preserve"> -Muslim</v>
      </c>
      <c r="AB29" s="452" t="s">
        <v>688</v>
      </c>
      <c r="AC29" s="452" t="s">
        <v>288</v>
      </c>
      <c r="AD29" s="452" t="s">
        <v>515</v>
      </c>
      <c r="AE29" s="452" t="s">
        <v>976</v>
      </c>
      <c r="AF29" s="333">
        <v>42156</v>
      </c>
      <c r="AG29" s="452"/>
      <c r="AH29" s="87" t="str">
        <f>IFERROR(VLOOKUP(Camp_List[[#This Row],[Responsible Agency]],Organization_t[],3,0),"")</f>
        <v>Richard Warren</v>
      </c>
      <c r="AI29" s="355">
        <f ca="1">IF((SUMIFS(Data_Shelter_t[Coverage],Data_Shelter_t[Pcode],Camp_List[[#This Row],[P_Code]]))&gt;1,1,SUMIFS(Data_Shelter_t[Coverage],Data_Shelter_t[Pcode],Camp_List[[#This Row],[P_Code]]))</f>
        <v>0.82474226804123707</v>
      </c>
      <c r="BL29" s="21"/>
      <c r="BM29" s="21"/>
      <c r="BN29" s="81"/>
      <c r="BO29" s="81"/>
    </row>
    <row r="30" spans="1:68" ht="15" customHeight="1" x14ac:dyDescent="0.25">
      <c r="A30" s="452" t="s">
        <v>358</v>
      </c>
      <c r="B30" s="452" t="s">
        <v>7</v>
      </c>
      <c r="C30" s="452" t="s">
        <v>361</v>
      </c>
      <c r="D30" s="452" t="s">
        <v>19</v>
      </c>
      <c r="E30" s="452" t="s">
        <v>623</v>
      </c>
      <c r="F30" s="452" t="s">
        <v>15</v>
      </c>
      <c r="G30" s="452" t="s">
        <v>391</v>
      </c>
      <c r="H30" s="452" t="s">
        <v>406</v>
      </c>
      <c r="I30" s="452" t="s">
        <v>405</v>
      </c>
      <c r="J30" s="452" t="s">
        <v>490</v>
      </c>
      <c r="K30" s="452">
        <v>196873</v>
      </c>
      <c r="L30" s="452" t="s">
        <v>44</v>
      </c>
      <c r="M30" s="452" t="s">
        <v>131</v>
      </c>
      <c r="N30" s="87">
        <v>92.982675999999998</v>
      </c>
      <c r="O30" s="87">
        <v>20.805734000000001</v>
      </c>
      <c r="P30" s="452"/>
      <c r="Q30" s="331">
        <v>18</v>
      </c>
      <c r="R30" s="331">
        <v>157</v>
      </c>
      <c r="S30" s="332">
        <v>8.7222222222222214</v>
      </c>
      <c r="T30" s="452" t="s">
        <v>352</v>
      </c>
      <c r="U30" s="452" t="s">
        <v>786</v>
      </c>
      <c r="V30" s="452" t="s">
        <v>854</v>
      </c>
      <c r="W30" s="460" t="s">
        <v>909</v>
      </c>
      <c r="X30" s="452"/>
      <c r="Y30" s="452" t="s">
        <v>805</v>
      </c>
      <c r="Z30" s="452" t="s">
        <v>680</v>
      </c>
      <c r="AA30" s="452" t="str">
        <f>CONCATENATE(Camp_List[[#This Row],[Ethnicity]],"-",Camp_List[[#This Row],[Religion]])</f>
        <v xml:space="preserve"> -Muslim</v>
      </c>
      <c r="AB30" s="452" t="s">
        <v>688</v>
      </c>
      <c r="AC30" s="452" t="s">
        <v>288</v>
      </c>
      <c r="AD30" s="452" t="s">
        <v>515</v>
      </c>
      <c r="AE30" s="452" t="s">
        <v>531</v>
      </c>
      <c r="AF30" s="333">
        <v>42097</v>
      </c>
      <c r="AG30" s="452"/>
      <c r="AH30" s="87" t="str">
        <f>IFERROR(VLOOKUP(Camp_List[[#This Row],[Responsible Agency]],Organization_t[],3,0),"")</f>
        <v>Richard Warren</v>
      </c>
      <c r="AI30" s="355">
        <f ca="1">IF((SUMIFS(Data_Shelter_t[Coverage],Data_Shelter_t[Pcode],Camp_List[[#This Row],[P_Code]]))&gt;1,1,SUMIFS(Data_Shelter_t[Coverage],Data_Shelter_t[Pcode],Camp_List[[#This Row],[P_Code]]))</f>
        <v>1</v>
      </c>
      <c r="BL30" s="21"/>
      <c r="BM30" s="21"/>
      <c r="BO30" s="81"/>
      <c r="BP30" s="81"/>
    </row>
    <row r="31" spans="1:68" ht="15" customHeight="1" x14ac:dyDescent="0.25">
      <c r="A31" s="452" t="s">
        <v>358</v>
      </c>
      <c r="B31" s="452" t="s">
        <v>7</v>
      </c>
      <c r="C31" s="452" t="s">
        <v>361</v>
      </c>
      <c r="D31" s="452" t="s">
        <v>19</v>
      </c>
      <c r="E31" s="452" t="s">
        <v>623</v>
      </c>
      <c r="F31" s="452" t="s">
        <v>15</v>
      </c>
      <c r="G31" s="452" t="s">
        <v>391</v>
      </c>
      <c r="H31" s="452" t="s">
        <v>402</v>
      </c>
      <c r="I31" s="452" t="s">
        <v>401</v>
      </c>
      <c r="J31" s="452" t="s">
        <v>488</v>
      </c>
      <c r="K31" s="456">
        <v>196829</v>
      </c>
      <c r="L31" s="452" t="s">
        <v>47</v>
      </c>
      <c r="M31" s="452" t="s">
        <v>134</v>
      </c>
      <c r="N31" s="87">
        <v>92.965980999999999</v>
      </c>
      <c r="O31" s="87">
        <v>20.865687000000001</v>
      </c>
      <c r="P31" s="452"/>
      <c r="Q31" s="331">
        <v>85</v>
      </c>
      <c r="R31" s="331">
        <v>531</v>
      </c>
      <c r="S31" s="332">
        <v>6.8</v>
      </c>
      <c r="T31" s="452" t="s">
        <v>352</v>
      </c>
      <c r="U31" s="452" t="s">
        <v>786</v>
      </c>
      <c r="V31" s="452" t="s">
        <v>23</v>
      </c>
      <c r="W31" s="460" t="s">
        <v>909</v>
      </c>
      <c r="X31" s="452"/>
      <c r="Y31" s="452" t="s">
        <v>805</v>
      </c>
      <c r="Z31" s="452" t="s">
        <v>680</v>
      </c>
      <c r="AA31" s="452" t="str">
        <f>CONCATENATE(Camp_List[[#This Row],[Ethnicity]],"-",Camp_List[[#This Row],[Religion]])</f>
        <v xml:space="preserve"> -Muslim</v>
      </c>
      <c r="AB31" s="452" t="s">
        <v>688</v>
      </c>
      <c r="AC31" s="452" t="s">
        <v>288</v>
      </c>
      <c r="AD31" s="452" t="s">
        <v>515</v>
      </c>
      <c r="AE31" s="452" t="s">
        <v>976</v>
      </c>
      <c r="AF31" s="333">
        <v>42156</v>
      </c>
      <c r="AG31" s="452"/>
      <c r="AH31" s="87" t="str">
        <f>IFERROR(VLOOKUP(Camp_List[[#This Row],[Responsible Agency]],Organization_t[],3,0),"")</f>
        <v>Richard Warren</v>
      </c>
      <c r="AI31" s="355">
        <f ca="1">IF((SUMIFS(Data_Shelter_t[Coverage],Data_Shelter_t[Pcode],Camp_List[[#This Row],[P_Code]]))&gt;1,1,SUMIFS(Data_Shelter_t[Coverage],Data_Shelter_t[Pcode],Camp_List[[#This Row],[P_Code]]))</f>
        <v>0.84705882352941175</v>
      </c>
      <c r="BL31" s="21"/>
      <c r="BM31" s="21"/>
      <c r="BO31" s="81"/>
      <c r="BP31" s="81"/>
    </row>
    <row r="32" spans="1:68" ht="15" customHeight="1" x14ac:dyDescent="0.25">
      <c r="A32" s="452" t="s">
        <v>358</v>
      </c>
      <c r="B32" s="452" t="s">
        <v>7</v>
      </c>
      <c r="C32" s="452" t="s">
        <v>361</v>
      </c>
      <c r="D32" s="452" t="s">
        <v>19</v>
      </c>
      <c r="E32" s="452" t="s">
        <v>623</v>
      </c>
      <c r="F32" s="452" t="s">
        <v>15</v>
      </c>
      <c r="G32" s="452" t="s">
        <v>391</v>
      </c>
      <c r="H32" s="452" t="s">
        <v>400</v>
      </c>
      <c r="I32" s="452" t="s">
        <v>399</v>
      </c>
      <c r="J32" s="452" t="s">
        <v>487</v>
      </c>
      <c r="K32" s="452">
        <v>196868</v>
      </c>
      <c r="L32" s="452" t="s">
        <v>53</v>
      </c>
      <c r="M32" s="452" t="s">
        <v>140</v>
      </c>
      <c r="N32" s="87">
        <v>92.987399999999994</v>
      </c>
      <c r="O32" s="87">
        <v>20.78332</v>
      </c>
      <c r="P32" s="452"/>
      <c r="Q32" s="331">
        <v>144</v>
      </c>
      <c r="R32" s="331">
        <v>1006</v>
      </c>
      <c r="S32" s="332">
        <v>7.1388888888888893</v>
      </c>
      <c r="T32" s="452" t="s">
        <v>352</v>
      </c>
      <c r="U32" s="452" t="s">
        <v>786</v>
      </c>
      <c r="V32" s="452" t="s">
        <v>854</v>
      </c>
      <c r="W32" s="460" t="s">
        <v>909</v>
      </c>
      <c r="X32" s="452"/>
      <c r="Y32" s="452" t="s">
        <v>805</v>
      </c>
      <c r="Z32" s="452" t="s">
        <v>680</v>
      </c>
      <c r="AA32" s="452" t="str">
        <f>CONCATENATE(Camp_List[[#This Row],[Ethnicity]],"-",Camp_List[[#This Row],[Religion]])</f>
        <v xml:space="preserve"> -Muslim</v>
      </c>
      <c r="AB32" s="452" t="s">
        <v>688</v>
      </c>
      <c r="AC32" s="452" t="s">
        <v>288</v>
      </c>
      <c r="AD32" s="452" t="s">
        <v>515</v>
      </c>
      <c r="AE32" s="452" t="s">
        <v>976</v>
      </c>
      <c r="AF32" s="333">
        <v>42156</v>
      </c>
      <c r="AG32" s="452"/>
      <c r="AH32" s="87" t="str">
        <f>IFERROR(VLOOKUP(Camp_List[[#This Row],[Responsible Agency]],Organization_t[],3,0),"")</f>
        <v>Richard Warren</v>
      </c>
      <c r="AI32" s="355">
        <f ca="1">IF((SUMIFS(Data_Shelter_t[Coverage],Data_Shelter_t[Pcode],Camp_List[[#This Row],[P_Code]]))&gt;1,1,SUMIFS(Data_Shelter_t[Coverage],Data_Shelter_t[Pcode],Camp_List[[#This Row],[P_Code]]))</f>
        <v>1</v>
      </c>
      <c r="BL32" s="21"/>
      <c r="BM32" s="21"/>
      <c r="BO32" s="81"/>
      <c r="BP32" s="81"/>
    </row>
    <row r="33" spans="1:68" ht="15" customHeight="1" x14ac:dyDescent="0.25">
      <c r="A33" s="452" t="s">
        <v>358</v>
      </c>
      <c r="B33" s="452" t="s">
        <v>7</v>
      </c>
      <c r="C33" s="452" t="s">
        <v>361</v>
      </c>
      <c r="D33" s="452" t="s">
        <v>19</v>
      </c>
      <c r="E33" s="452" t="s">
        <v>623</v>
      </c>
      <c r="F33" s="452" t="s">
        <v>15</v>
      </c>
      <c r="G33" s="452" t="s">
        <v>391</v>
      </c>
      <c r="H33" s="452" t="s">
        <v>404</v>
      </c>
      <c r="I33" s="452" t="s">
        <v>403</v>
      </c>
      <c r="J33" s="452" t="s">
        <v>489</v>
      </c>
      <c r="K33" s="452">
        <v>196789</v>
      </c>
      <c r="L33" s="452" t="s">
        <v>45</v>
      </c>
      <c r="M33" s="452" t="s">
        <v>132</v>
      </c>
      <c r="N33" s="87">
        <v>93.000815000000003</v>
      </c>
      <c r="O33" s="87">
        <v>20.929649000000001</v>
      </c>
      <c r="P33" s="452"/>
      <c r="Q33" s="331">
        <v>63</v>
      </c>
      <c r="R33" s="331">
        <v>414</v>
      </c>
      <c r="S33" s="332">
        <v>6.67741935483871</v>
      </c>
      <c r="T33" s="452" t="s">
        <v>352</v>
      </c>
      <c r="U33" s="452" t="s">
        <v>786</v>
      </c>
      <c r="V33" s="452" t="s">
        <v>854</v>
      </c>
      <c r="W33" s="460" t="s">
        <v>909</v>
      </c>
      <c r="X33" s="452"/>
      <c r="Y33" s="452" t="s">
        <v>805</v>
      </c>
      <c r="Z33" s="452" t="s">
        <v>680</v>
      </c>
      <c r="AA33" s="452" t="str">
        <f>CONCATENATE(Camp_List[[#This Row],[Ethnicity]],"-",Camp_List[[#This Row],[Religion]])</f>
        <v xml:space="preserve"> -Muslim</v>
      </c>
      <c r="AB33" s="452" t="s">
        <v>688</v>
      </c>
      <c r="AC33" s="452" t="s">
        <v>288</v>
      </c>
      <c r="AD33" s="452" t="s">
        <v>515</v>
      </c>
      <c r="AE33" s="452" t="s">
        <v>531</v>
      </c>
      <c r="AF33" s="333">
        <v>42097</v>
      </c>
      <c r="AG33" s="452"/>
      <c r="AH33" s="87" t="str">
        <f>IFERROR(VLOOKUP(Camp_List[[#This Row],[Responsible Agency]],Organization_t[],3,0),"")</f>
        <v>Richard Warren</v>
      </c>
      <c r="AI33" s="355">
        <f ca="1">IF((SUMIFS(Data_Shelter_t[Coverage],Data_Shelter_t[Pcode],Camp_List[[#This Row],[P_Code]]))&gt;1,1,SUMIFS(Data_Shelter_t[Coverage],Data_Shelter_t[Pcode],Camp_List[[#This Row],[P_Code]]))</f>
        <v>1</v>
      </c>
      <c r="BL33" s="21"/>
      <c r="BM33" s="21"/>
      <c r="BO33" s="81"/>
      <c r="BP33" s="81"/>
    </row>
    <row r="34" spans="1:68" ht="15" hidden="1" customHeight="1" x14ac:dyDescent="0.25">
      <c r="A34" s="452" t="s">
        <v>359</v>
      </c>
      <c r="B34" s="452" t="s">
        <v>7</v>
      </c>
      <c r="C34" s="452" t="s">
        <v>361</v>
      </c>
      <c r="D34" s="452"/>
      <c r="E34" s="452"/>
      <c r="F34" s="452" t="s">
        <v>11</v>
      </c>
      <c r="G34" s="452" t="s">
        <v>362</v>
      </c>
      <c r="H34" s="452" t="s">
        <v>374</v>
      </c>
      <c r="I34" s="452" t="s">
        <v>373</v>
      </c>
      <c r="J34" s="452" t="s">
        <v>496</v>
      </c>
      <c r="K34" s="452">
        <v>197063</v>
      </c>
      <c r="L34" s="452" t="s">
        <v>28</v>
      </c>
      <c r="M34" s="452" t="s">
        <v>115</v>
      </c>
      <c r="N34" s="87">
        <v>93.258476000000002</v>
      </c>
      <c r="O34" s="87">
        <v>20.554084</v>
      </c>
      <c r="P34" s="452"/>
      <c r="Q34" s="331"/>
      <c r="R34" s="331"/>
      <c r="S34" s="332">
        <v>0</v>
      </c>
      <c r="T34" s="452" t="s">
        <v>352</v>
      </c>
      <c r="U34" s="452" t="s">
        <v>786</v>
      </c>
      <c r="V34" s="452" t="s">
        <v>23</v>
      </c>
      <c r="W34" s="452"/>
      <c r="X34" s="452"/>
      <c r="Y34" s="452"/>
      <c r="Z34" s="452"/>
      <c r="AA34" s="452" t="str">
        <f>CONCATENATE(Camp_List[[#This Row],[Ethnicity]],"-",Camp_List[[#This Row],[Religion]])</f>
        <v>-</v>
      </c>
      <c r="AB34" s="452"/>
      <c r="AC34" s="452" t="s">
        <v>805</v>
      </c>
      <c r="AD34" s="452" t="s">
        <v>515</v>
      </c>
      <c r="AE34" s="452" t="s">
        <v>531</v>
      </c>
      <c r="AF34" s="333">
        <v>41520</v>
      </c>
      <c r="AG34" s="452"/>
      <c r="AH34" s="87">
        <f>IFERROR(VLOOKUP(Camp_List[[#This Row],[Responsible Agency]],Organization_t[],3,0),"")</f>
        <v>0</v>
      </c>
      <c r="AI34" s="355">
        <f>IF((SUMIFS(Data_Shelter_t[Coverage],Data_Shelter_t[Pcode],Camp_List[[#This Row],[P_Code]]))&gt;1,1,SUMIFS(Data_Shelter_t[Coverage],Data_Shelter_t[Pcode],Camp_List[[#This Row],[P_Code]]))</f>
        <v>0</v>
      </c>
      <c r="BL34" s="21"/>
      <c r="BM34" s="21"/>
      <c r="BO34" s="81"/>
      <c r="BP34" s="81"/>
    </row>
    <row r="35" spans="1:68" ht="15" customHeight="1" x14ac:dyDescent="0.25">
      <c r="A35" s="452" t="s">
        <v>358</v>
      </c>
      <c r="B35" s="452" t="s">
        <v>7</v>
      </c>
      <c r="C35" s="452" t="s">
        <v>361</v>
      </c>
      <c r="D35" s="452" t="s">
        <v>19</v>
      </c>
      <c r="E35" s="452" t="s">
        <v>623</v>
      </c>
      <c r="F35" s="452" t="s">
        <v>15</v>
      </c>
      <c r="G35" s="452" t="s">
        <v>391</v>
      </c>
      <c r="H35" s="452" t="s">
        <v>398</v>
      </c>
      <c r="I35" s="452" t="s">
        <v>397</v>
      </c>
      <c r="J35" s="452" t="s">
        <v>52</v>
      </c>
      <c r="K35" s="452">
        <v>196952</v>
      </c>
      <c r="L35" s="452" t="s">
        <v>52</v>
      </c>
      <c r="M35" s="452" t="s">
        <v>139</v>
      </c>
      <c r="N35" s="87">
        <v>92.969350000000006</v>
      </c>
      <c r="O35" s="87">
        <v>20.727589999999999</v>
      </c>
      <c r="P35" s="452"/>
      <c r="Q35" s="331">
        <v>112</v>
      </c>
      <c r="R35" s="331">
        <v>738</v>
      </c>
      <c r="S35" s="332">
        <v>6.5625</v>
      </c>
      <c r="T35" s="452" t="s">
        <v>352</v>
      </c>
      <c r="U35" s="452" t="s">
        <v>786</v>
      </c>
      <c r="V35" s="452" t="s">
        <v>854</v>
      </c>
      <c r="W35" s="460" t="s">
        <v>909</v>
      </c>
      <c r="X35" s="452"/>
      <c r="Y35" s="452" t="s">
        <v>805</v>
      </c>
      <c r="Z35" s="452" t="s">
        <v>680</v>
      </c>
      <c r="AA35" s="452" t="str">
        <f>CONCATENATE(Camp_List[[#This Row],[Ethnicity]],"-",Camp_List[[#This Row],[Religion]])</f>
        <v xml:space="preserve"> -Muslim</v>
      </c>
      <c r="AB35" s="452" t="s">
        <v>688</v>
      </c>
      <c r="AC35" s="452" t="s">
        <v>288</v>
      </c>
      <c r="AD35" s="452" t="s">
        <v>515</v>
      </c>
      <c r="AE35" s="452" t="s">
        <v>976</v>
      </c>
      <c r="AF35" s="333">
        <v>42156</v>
      </c>
      <c r="AG35" s="452"/>
      <c r="AH35" s="87" t="str">
        <f>IFERROR(VLOOKUP(Camp_List[[#This Row],[Responsible Agency]],Organization_t[],3,0),"")</f>
        <v>Richard Warren</v>
      </c>
      <c r="AI35" s="355">
        <f ca="1">IF((SUMIFS(Data_Shelter_t[Coverage],Data_Shelter_t[Pcode],Camp_List[[#This Row],[P_Code]]))&gt;1,1,SUMIFS(Data_Shelter_t[Coverage],Data_Shelter_t[Pcode],Camp_List[[#This Row],[P_Code]]))</f>
        <v>1</v>
      </c>
      <c r="BL35" s="21"/>
      <c r="BM35" s="21"/>
      <c r="BO35" s="81"/>
      <c r="BP35" s="81"/>
    </row>
    <row r="36" spans="1:68" ht="15" customHeight="1" x14ac:dyDescent="0.25">
      <c r="A36" s="452" t="s">
        <v>358</v>
      </c>
      <c r="B36" s="452" t="s">
        <v>7</v>
      </c>
      <c r="C36" s="452" t="s">
        <v>361</v>
      </c>
      <c r="D36" s="452" t="s">
        <v>20</v>
      </c>
      <c r="E36" s="452" t="s">
        <v>641</v>
      </c>
      <c r="F36" s="452" t="s">
        <v>20</v>
      </c>
      <c r="G36" s="452" t="s">
        <v>458</v>
      </c>
      <c r="H36" s="452" t="s">
        <v>459</v>
      </c>
      <c r="I36" s="452" t="s">
        <v>525</v>
      </c>
      <c r="J36" s="452"/>
      <c r="K36" s="452" t="s">
        <v>460</v>
      </c>
      <c r="L36" s="452" t="s">
        <v>106</v>
      </c>
      <c r="M36" s="452" t="s">
        <v>195</v>
      </c>
      <c r="N36" s="87">
        <v>92.365793999999994</v>
      </c>
      <c r="O36" s="87">
        <v>20.819958</v>
      </c>
      <c r="P36" s="461"/>
      <c r="Q36" s="331">
        <v>16</v>
      </c>
      <c r="R36" s="331">
        <v>110</v>
      </c>
      <c r="S36" s="332">
        <v>6.875</v>
      </c>
      <c r="T36" s="452" t="s">
        <v>352</v>
      </c>
      <c r="U36" s="452" t="s">
        <v>786</v>
      </c>
      <c r="V36" s="452" t="s">
        <v>23</v>
      </c>
      <c r="W36" s="452"/>
      <c r="X36" s="452"/>
      <c r="Y36" s="452" t="s">
        <v>805</v>
      </c>
      <c r="Z36" s="452" t="s">
        <v>680</v>
      </c>
      <c r="AA36" s="452" t="str">
        <f>CONCATENATE(Camp_List[[#This Row],[Ethnicity]],"-",Camp_List[[#This Row],[Religion]])</f>
        <v xml:space="preserve"> -Muslim</v>
      </c>
      <c r="AB36" s="452" t="s">
        <v>688</v>
      </c>
      <c r="AC36" s="452" t="s">
        <v>288</v>
      </c>
      <c r="AD36" s="452" t="s">
        <v>515</v>
      </c>
      <c r="AE36" s="452" t="s">
        <v>531</v>
      </c>
      <c r="AF36" s="333">
        <v>41548</v>
      </c>
      <c r="AG36" s="452"/>
      <c r="AH36" s="87" t="str">
        <f>IFERROR(VLOOKUP(Camp_List[[#This Row],[Responsible Agency]],Organization_t[],3,0),"")</f>
        <v>Richard Warren</v>
      </c>
      <c r="AI36" s="355">
        <f>IF((SUMIFS(Data_Shelter_t[Coverage],Data_Shelter_t[Pcode],Camp_List[[#This Row],[P_Code]]))&gt;1,1,SUMIFS(Data_Shelter_t[Coverage],Data_Shelter_t[Pcode],Camp_List[[#This Row],[P_Code]]))</f>
        <v>0</v>
      </c>
      <c r="BL36" s="21"/>
      <c r="BM36" s="21"/>
      <c r="BO36" s="81"/>
      <c r="BP36" s="81"/>
    </row>
    <row r="37" spans="1:68" ht="15" customHeight="1" x14ac:dyDescent="0.25">
      <c r="A37" s="452" t="s">
        <v>358</v>
      </c>
      <c r="B37" s="452" t="s">
        <v>7</v>
      </c>
      <c r="C37" s="452" t="s">
        <v>361</v>
      </c>
      <c r="D37" s="452" t="s">
        <v>20</v>
      </c>
      <c r="E37" s="452" t="s">
        <v>641</v>
      </c>
      <c r="F37" s="452" t="s">
        <v>20</v>
      </c>
      <c r="G37" s="452" t="s">
        <v>458</v>
      </c>
      <c r="H37" s="452" t="s">
        <v>466</v>
      </c>
      <c r="I37" s="452" t="s">
        <v>465</v>
      </c>
      <c r="J37" s="452" t="s">
        <v>480</v>
      </c>
      <c r="K37" s="452">
        <v>197988</v>
      </c>
      <c r="L37" s="452" t="s">
        <v>110</v>
      </c>
      <c r="M37" s="452" t="s">
        <v>199</v>
      </c>
      <c r="N37" s="87">
        <v>92.443427999999997</v>
      </c>
      <c r="O37" s="87">
        <v>20.714846999999999</v>
      </c>
      <c r="P37" s="461"/>
      <c r="Q37" s="331">
        <v>48</v>
      </c>
      <c r="R37" s="331">
        <v>289</v>
      </c>
      <c r="S37" s="332">
        <v>6.020833333333333</v>
      </c>
      <c r="T37" s="452" t="s">
        <v>352</v>
      </c>
      <c r="U37" s="452" t="s">
        <v>786</v>
      </c>
      <c r="V37" s="452" t="s">
        <v>23</v>
      </c>
      <c r="W37" s="452"/>
      <c r="X37" s="452"/>
      <c r="Y37" s="452" t="s">
        <v>805</v>
      </c>
      <c r="Z37" s="452" t="s">
        <v>680</v>
      </c>
      <c r="AA37" s="452" t="str">
        <f>CONCATENATE(Camp_List[[#This Row],[Ethnicity]],"-",Camp_List[[#This Row],[Religion]])</f>
        <v xml:space="preserve"> -Muslim</v>
      </c>
      <c r="AB37" s="452" t="s">
        <v>688</v>
      </c>
      <c r="AC37" s="452" t="s">
        <v>288</v>
      </c>
      <c r="AD37" s="452" t="s">
        <v>515</v>
      </c>
      <c r="AE37" s="452" t="s">
        <v>531</v>
      </c>
      <c r="AF37" s="333">
        <v>41548</v>
      </c>
      <c r="AG37" s="452"/>
      <c r="AH37" s="87" t="str">
        <f>IFERROR(VLOOKUP(Camp_List[[#This Row],[Responsible Agency]],Organization_t[],3,0),"")</f>
        <v>Richard Warren</v>
      </c>
      <c r="AI37" s="355">
        <f>IF((SUMIFS(Data_Shelter_t[Coverage],Data_Shelter_t[Pcode],Camp_List[[#This Row],[P_Code]]))&gt;1,1,SUMIFS(Data_Shelter_t[Coverage],Data_Shelter_t[Pcode],Camp_List[[#This Row],[P_Code]]))</f>
        <v>0</v>
      </c>
      <c r="BL37" s="21"/>
      <c r="BM37" s="21"/>
      <c r="BO37" s="81"/>
      <c r="BP37" s="81"/>
    </row>
    <row r="38" spans="1:68" ht="15" customHeight="1" x14ac:dyDescent="0.25">
      <c r="A38" s="452" t="s">
        <v>358</v>
      </c>
      <c r="B38" s="452" t="s">
        <v>7</v>
      </c>
      <c r="C38" s="452" t="s">
        <v>632</v>
      </c>
      <c r="D38" s="452" t="s">
        <v>20</v>
      </c>
      <c r="E38" s="452" t="s">
        <v>641</v>
      </c>
      <c r="F38" s="452" t="s">
        <v>20</v>
      </c>
      <c r="G38" s="452" t="s">
        <v>458</v>
      </c>
      <c r="H38" s="452" t="s">
        <v>462</v>
      </c>
      <c r="I38" s="452" t="s">
        <v>461</v>
      </c>
      <c r="J38" s="456" t="s">
        <v>471</v>
      </c>
      <c r="K38" s="452">
        <v>198049</v>
      </c>
      <c r="L38" s="452" t="s">
        <v>636</v>
      </c>
      <c r="M38" s="452" t="s">
        <v>640</v>
      </c>
      <c r="N38" s="87">
        <v>92.435378</v>
      </c>
      <c r="O38" s="87">
        <v>20.713882999999999</v>
      </c>
      <c r="P38" s="452"/>
      <c r="Q38" s="331">
        <v>59</v>
      </c>
      <c r="R38" s="331">
        <v>338</v>
      </c>
      <c r="S38" s="332">
        <v>5.7288135593220337</v>
      </c>
      <c r="T38" s="452" t="s">
        <v>352</v>
      </c>
      <c r="U38" s="452" t="s">
        <v>786</v>
      </c>
      <c r="V38" s="452" t="s">
        <v>23</v>
      </c>
      <c r="W38" s="452"/>
      <c r="X38" s="452"/>
      <c r="Y38" s="452" t="s">
        <v>805</v>
      </c>
      <c r="Z38" s="452" t="s">
        <v>680</v>
      </c>
      <c r="AA38" s="452" t="str">
        <f>CONCATENATE(Camp_List[[#This Row],[Ethnicity]],"-",Camp_List[[#This Row],[Religion]])</f>
        <v xml:space="preserve"> -Muslim</v>
      </c>
      <c r="AB38" s="452" t="s">
        <v>688</v>
      </c>
      <c r="AC38" s="452" t="s">
        <v>288</v>
      </c>
      <c r="AD38" s="452" t="s">
        <v>515</v>
      </c>
      <c r="AE38" s="452" t="s">
        <v>531</v>
      </c>
      <c r="AF38" s="333">
        <v>41548</v>
      </c>
      <c r="AG38" s="452"/>
      <c r="AH38" s="87" t="str">
        <f>IFERROR(VLOOKUP(Camp_List[[#This Row],[Responsible Agency]],Organization_t[],3,0),"")</f>
        <v>Richard Warren</v>
      </c>
      <c r="AI38" s="355">
        <f>IF((SUMIFS(Data_Shelter_t[Coverage],Data_Shelter_t[Pcode],Camp_List[[#This Row],[P_Code]]))&gt;1,1,SUMIFS(Data_Shelter_t[Coverage],Data_Shelter_t[Pcode],Camp_List[[#This Row],[P_Code]]))</f>
        <v>0</v>
      </c>
      <c r="BL38" s="21"/>
      <c r="BM38" s="21"/>
      <c r="BO38" s="81"/>
      <c r="BP38" s="81"/>
    </row>
    <row r="39" spans="1:68" ht="15" customHeight="1" x14ac:dyDescent="0.25">
      <c r="A39" s="452" t="s">
        <v>358</v>
      </c>
      <c r="B39" s="452" t="s">
        <v>7</v>
      </c>
      <c r="C39" s="452" t="s">
        <v>361</v>
      </c>
      <c r="D39" s="452" t="s">
        <v>20</v>
      </c>
      <c r="E39" s="452" t="s">
        <v>641</v>
      </c>
      <c r="F39" s="452" t="s">
        <v>20</v>
      </c>
      <c r="G39" s="452" t="s">
        <v>458</v>
      </c>
      <c r="H39" s="452" t="s">
        <v>459</v>
      </c>
      <c r="I39" s="452" t="s">
        <v>525</v>
      </c>
      <c r="J39" s="452"/>
      <c r="K39" s="452" t="s">
        <v>460</v>
      </c>
      <c r="L39" s="452" t="s">
        <v>920</v>
      </c>
      <c r="M39" s="452" t="s">
        <v>194</v>
      </c>
      <c r="N39" s="87">
        <v>92.362932999999998</v>
      </c>
      <c r="O39" s="87">
        <v>20.827044000000001</v>
      </c>
      <c r="P39" s="461"/>
      <c r="Q39" s="331">
        <v>20</v>
      </c>
      <c r="R39" s="331">
        <v>102</v>
      </c>
      <c r="S39" s="332">
        <v>5.0999999999999996</v>
      </c>
      <c r="T39" s="452" t="s">
        <v>352</v>
      </c>
      <c r="U39" s="452" t="s">
        <v>786</v>
      </c>
      <c r="V39" s="452" t="s">
        <v>23</v>
      </c>
      <c r="W39" s="452"/>
      <c r="X39" s="452"/>
      <c r="Y39" s="452" t="s">
        <v>805</v>
      </c>
      <c r="Z39" s="452" t="s">
        <v>680</v>
      </c>
      <c r="AA39" s="452" t="str">
        <f>CONCATENATE(Camp_List[[#This Row],[Ethnicity]],"-",Camp_List[[#This Row],[Religion]])</f>
        <v xml:space="preserve"> -Muslim</v>
      </c>
      <c r="AB39" s="452" t="s">
        <v>688</v>
      </c>
      <c r="AC39" s="452" t="s">
        <v>288</v>
      </c>
      <c r="AD39" s="452" t="s">
        <v>515</v>
      </c>
      <c r="AE39" s="452" t="s">
        <v>531</v>
      </c>
      <c r="AF39" s="333">
        <v>42018</v>
      </c>
      <c r="AG39" s="452"/>
      <c r="AH39" s="87" t="str">
        <f>IFERROR(VLOOKUP(Camp_List[[#This Row],[Responsible Agency]],Organization_t[],3,0),"")</f>
        <v>Richard Warren</v>
      </c>
      <c r="AI39" s="355">
        <f>IF((SUMIFS(Data_Shelter_t[Coverage],Data_Shelter_t[Pcode],Camp_List[[#This Row],[P_Code]]))&gt;1,1,SUMIFS(Data_Shelter_t[Coverage],Data_Shelter_t[Pcode],Camp_List[[#This Row],[P_Code]]))</f>
        <v>0</v>
      </c>
      <c r="BL39" s="21"/>
      <c r="BM39" s="21"/>
      <c r="BO39" s="81"/>
      <c r="BP39" s="81"/>
    </row>
    <row r="40" spans="1:68" ht="15" customHeight="1" x14ac:dyDescent="0.25">
      <c r="A40" s="452" t="s">
        <v>358</v>
      </c>
      <c r="B40" s="452" t="s">
        <v>7</v>
      </c>
      <c r="C40" s="452" t="s">
        <v>361</v>
      </c>
      <c r="D40" s="452" t="s">
        <v>20</v>
      </c>
      <c r="E40" s="452" t="s">
        <v>641</v>
      </c>
      <c r="F40" s="452" t="s">
        <v>20</v>
      </c>
      <c r="G40" s="452" t="s">
        <v>458</v>
      </c>
      <c r="H40" s="452" t="s">
        <v>523</v>
      </c>
      <c r="I40" s="452" t="s">
        <v>525</v>
      </c>
      <c r="J40" s="452"/>
      <c r="K40" s="452"/>
      <c r="L40" s="452" t="s">
        <v>104</v>
      </c>
      <c r="M40" s="452" t="s">
        <v>193</v>
      </c>
      <c r="N40" s="87">
        <v>92.362196999999995</v>
      </c>
      <c r="O40" s="87">
        <v>20.824777999999998</v>
      </c>
      <c r="P40" s="461"/>
      <c r="Q40" s="331">
        <v>6</v>
      </c>
      <c r="R40" s="331">
        <v>37</v>
      </c>
      <c r="S40" s="332">
        <v>6.166666666666667</v>
      </c>
      <c r="T40" s="452" t="s">
        <v>352</v>
      </c>
      <c r="U40" s="452" t="s">
        <v>786</v>
      </c>
      <c r="V40" s="452" t="s">
        <v>23</v>
      </c>
      <c r="W40" s="452"/>
      <c r="X40" s="452"/>
      <c r="Y40" s="452" t="s">
        <v>805</v>
      </c>
      <c r="Z40" s="452" t="s">
        <v>680</v>
      </c>
      <c r="AA40" s="452" t="str">
        <f>CONCATENATE(Camp_List[[#This Row],[Ethnicity]],"-",Camp_List[[#This Row],[Religion]])</f>
        <v xml:space="preserve"> -Muslim</v>
      </c>
      <c r="AB40" s="452" t="s">
        <v>688</v>
      </c>
      <c r="AC40" s="452" t="s">
        <v>288</v>
      </c>
      <c r="AD40" s="452" t="s">
        <v>515</v>
      </c>
      <c r="AE40" s="452" t="s">
        <v>531</v>
      </c>
      <c r="AF40" s="333">
        <v>41548</v>
      </c>
      <c r="AG40" s="452" t="s">
        <v>524</v>
      </c>
      <c r="AH40" s="87" t="str">
        <f>IFERROR(VLOOKUP(Camp_List[[#This Row],[Responsible Agency]],Organization_t[],3,0),"")</f>
        <v>Richard Warren</v>
      </c>
      <c r="AI40" s="355">
        <f>IF((SUMIFS(Data_Shelter_t[Coverage],Data_Shelter_t[Pcode],Camp_List[[#This Row],[P_Code]]))&gt;1,1,SUMIFS(Data_Shelter_t[Coverage],Data_Shelter_t[Pcode],Camp_List[[#This Row],[P_Code]]))</f>
        <v>0</v>
      </c>
      <c r="BL40" s="21"/>
      <c r="BM40" s="21"/>
      <c r="BO40" s="81"/>
      <c r="BP40" s="81"/>
    </row>
    <row r="41" spans="1:68" ht="15" customHeight="1" x14ac:dyDescent="0.25">
      <c r="A41" s="452" t="s">
        <v>358</v>
      </c>
      <c r="B41" s="452" t="s">
        <v>7</v>
      </c>
      <c r="C41" s="452" t="s">
        <v>361</v>
      </c>
      <c r="D41" s="452" t="s">
        <v>20</v>
      </c>
      <c r="E41" s="452" t="s">
        <v>641</v>
      </c>
      <c r="F41" s="452" t="s">
        <v>20</v>
      </c>
      <c r="G41" s="452" t="s">
        <v>458</v>
      </c>
      <c r="H41" s="452" t="s">
        <v>474</v>
      </c>
      <c r="I41" s="452" t="s">
        <v>473</v>
      </c>
      <c r="J41" s="452" t="s">
        <v>475</v>
      </c>
      <c r="K41" s="452">
        <v>197868</v>
      </c>
      <c r="L41" s="458" t="s">
        <v>921</v>
      </c>
      <c r="M41" s="460" t="s">
        <v>286</v>
      </c>
      <c r="N41" s="87">
        <v>92.338031000000001</v>
      </c>
      <c r="O41" s="87">
        <v>21.066663999999999</v>
      </c>
      <c r="P41" s="458"/>
      <c r="Q41" s="331">
        <v>8</v>
      </c>
      <c r="R41" s="331">
        <v>59</v>
      </c>
      <c r="S41" s="332">
        <v>7.375</v>
      </c>
      <c r="T41" s="460" t="s">
        <v>352</v>
      </c>
      <c r="U41" s="452" t="s">
        <v>786</v>
      </c>
      <c r="V41" s="452" t="s">
        <v>23</v>
      </c>
      <c r="W41" s="452"/>
      <c r="X41" s="452"/>
      <c r="Y41" s="452" t="s">
        <v>805</v>
      </c>
      <c r="Z41" s="452" t="s">
        <v>680</v>
      </c>
      <c r="AA41" s="452" t="str">
        <f>CONCATENATE(Camp_List[[#This Row],[Ethnicity]],"-",Camp_List[[#This Row],[Religion]])</f>
        <v xml:space="preserve"> -Muslim</v>
      </c>
      <c r="AB41" s="452" t="s">
        <v>688</v>
      </c>
      <c r="AC41" s="452" t="s">
        <v>288</v>
      </c>
      <c r="AD41" s="452" t="s">
        <v>515</v>
      </c>
      <c r="AE41" s="452" t="s">
        <v>531</v>
      </c>
      <c r="AF41" s="333">
        <v>42018</v>
      </c>
      <c r="AG41" s="452"/>
      <c r="AH41" s="87" t="str">
        <f>IFERROR(VLOOKUP(Camp_List[[#This Row],[Responsible Agency]],Organization_t[],3,0),"")</f>
        <v>Richard Warren</v>
      </c>
      <c r="AI41" s="355">
        <f>IF((SUMIFS(Data_Shelter_t[Coverage],Data_Shelter_t[Pcode],Camp_List[[#This Row],[P_Code]]))&gt;1,1,SUMIFS(Data_Shelter_t[Coverage],Data_Shelter_t[Pcode],Camp_List[[#This Row],[P_Code]]))</f>
        <v>0</v>
      </c>
      <c r="BL41" s="21"/>
      <c r="BM41" s="21"/>
      <c r="BO41" s="81"/>
      <c r="BP41" s="81"/>
    </row>
    <row r="42" spans="1:68" ht="15" customHeight="1" x14ac:dyDescent="0.25">
      <c r="A42" s="452" t="s">
        <v>358</v>
      </c>
      <c r="B42" s="452" t="s">
        <v>7</v>
      </c>
      <c r="C42" s="452" t="s">
        <v>361</v>
      </c>
      <c r="D42" s="452" t="s">
        <v>20</v>
      </c>
      <c r="E42" s="452" t="s">
        <v>641</v>
      </c>
      <c r="F42" s="452" t="s">
        <v>20</v>
      </c>
      <c r="G42" s="452" t="s">
        <v>458</v>
      </c>
      <c r="H42" s="452" t="s">
        <v>464</v>
      </c>
      <c r="I42" s="452" t="s">
        <v>463</v>
      </c>
      <c r="J42" s="452" t="s">
        <v>481</v>
      </c>
      <c r="K42" s="452">
        <v>197990</v>
      </c>
      <c r="L42" s="452" t="s">
        <v>108</v>
      </c>
      <c r="M42" s="452" t="s">
        <v>197</v>
      </c>
      <c r="N42" s="87">
        <v>92.401293999999993</v>
      </c>
      <c r="O42" s="87">
        <v>20.824517</v>
      </c>
      <c r="P42" s="461"/>
      <c r="Q42" s="331">
        <v>5</v>
      </c>
      <c r="R42" s="331">
        <v>35</v>
      </c>
      <c r="S42" s="332">
        <v>7</v>
      </c>
      <c r="T42" s="452" t="s">
        <v>352</v>
      </c>
      <c r="U42" s="452" t="s">
        <v>786</v>
      </c>
      <c r="V42" s="452" t="s">
        <v>23</v>
      </c>
      <c r="W42" s="452"/>
      <c r="X42" s="452"/>
      <c r="Y42" s="452" t="s">
        <v>805</v>
      </c>
      <c r="Z42" s="452" t="s">
        <v>680</v>
      </c>
      <c r="AA42" s="452" t="str">
        <f>CONCATENATE(Camp_List[[#This Row],[Ethnicity]],"-",Camp_List[[#This Row],[Religion]])</f>
        <v xml:space="preserve"> -Muslim</v>
      </c>
      <c r="AB42" s="452" t="s">
        <v>688</v>
      </c>
      <c r="AC42" s="452" t="s">
        <v>288</v>
      </c>
      <c r="AD42" s="452" t="s">
        <v>515</v>
      </c>
      <c r="AE42" s="452" t="s">
        <v>531</v>
      </c>
      <c r="AF42" s="333">
        <v>41548</v>
      </c>
      <c r="AG42" s="452"/>
      <c r="AH42" s="87" t="str">
        <f>IFERROR(VLOOKUP(Camp_List[[#This Row],[Responsible Agency]],Organization_t[],3,0),"")</f>
        <v>Richard Warren</v>
      </c>
      <c r="AI42" s="355">
        <f>IF((SUMIFS(Data_Shelter_t[Coverage],Data_Shelter_t[Pcode],Camp_List[[#This Row],[P_Code]]))&gt;1,1,SUMIFS(Data_Shelter_t[Coverage],Data_Shelter_t[Pcode],Camp_List[[#This Row],[P_Code]]))</f>
        <v>0</v>
      </c>
      <c r="BL42" s="21"/>
      <c r="BM42" s="21"/>
      <c r="BO42" s="81"/>
      <c r="BP42" s="81"/>
    </row>
    <row r="43" spans="1:68" ht="15" customHeight="1" x14ac:dyDescent="0.25">
      <c r="A43" s="452" t="s">
        <v>358</v>
      </c>
      <c r="B43" s="452" t="s">
        <v>7</v>
      </c>
      <c r="C43" s="452" t="s">
        <v>361</v>
      </c>
      <c r="D43" s="452" t="s">
        <v>20</v>
      </c>
      <c r="E43" s="452" t="s">
        <v>641</v>
      </c>
      <c r="F43" s="452" t="s">
        <v>20</v>
      </c>
      <c r="G43" s="452" t="s">
        <v>458</v>
      </c>
      <c r="H43" s="452" t="s">
        <v>464</v>
      </c>
      <c r="I43" s="452" t="s">
        <v>463</v>
      </c>
      <c r="J43" s="452"/>
      <c r="K43" s="452"/>
      <c r="L43" s="458" t="s">
        <v>922</v>
      </c>
      <c r="M43" s="460" t="s">
        <v>287</v>
      </c>
      <c r="N43" s="87">
        <v>92.416683000000006</v>
      </c>
      <c r="O43" s="87">
        <v>20.833831</v>
      </c>
      <c r="P43" s="458"/>
      <c r="Q43" s="331">
        <v>52</v>
      </c>
      <c r="R43" s="331">
        <v>392</v>
      </c>
      <c r="S43" s="332">
        <v>7.5384615384615383</v>
      </c>
      <c r="T43" s="460" t="s">
        <v>352</v>
      </c>
      <c r="U43" s="452" t="s">
        <v>786</v>
      </c>
      <c r="V43" s="452" t="s">
        <v>23</v>
      </c>
      <c r="W43" s="452"/>
      <c r="X43" s="452"/>
      <c r="Y43" s="452" t="s">
        <v>805</v>
      </c>
      <c r="Z43" s="452" t="s">
        <v>680</v>
      </c>
      <c r="AA43" s="452" t="str">
        <f>CONCATENATE(Camp_List[[#This Row],[Ethnicity]],"-",Camp_List[[#This Row],[Religion]])</f>
        <v xml:space="preserve"> -Muslim</v>
      </c>
      <c r="AB43" s="452" t="s">
        <v>688</v>
      </c>
      <c r="AC43" s="452" t="s">
        <v>288</v>
      </c>
      <c r="AD43" s="452" t="s">
        <v>515</v>
      </c>
      <c r="AE43" s="452" t="s">
        <v>531</v>
      </c>
      <c r="AF43" s="333">
        <v>41548</v>
      </c>
      <c r="AG43" s="452"/>
      <c r="AH43" s="87" t="str">
        <f>IFERROR(VLOOKUP(Camp_List[[#This Row],[Responsible Agency]],Organization_t[],3,0),"")</f>
        <v>Richard Warren</v>
      </c>
      <c r="AI43" s="355">
        <f>IF((SUMIFS(Data_Shelter_t[Coverage],Data_Shelter_t[Pcode],Camp_List[[#This Row],[P_Code]]))&gt;1,1,SUMIFS(Data_Shelter_t[Coverage],Data_Shelter_t[Pcode],Camp_List[[#This Row],[P_Code]]))</f>
        <v>0</v>
      </c>
      <c r="BL43" s="21"/>
      <c r="BM43" s="21"/>
      <c r="BO43" s="81"/>
      <c r="BP43" s="81"/>
    </row>
    <row r="44" spans="1:68" ht="15" customHeight="1" x14ac:dyDescent="0.25">
      <c r="A44" s="452" t="s">
        <v>358</v>
      </c>
      <c r="B44" s="452" t="s">
        <v>7</v>
      </c>
      <c r="C44" s="452" t="s">
        <v>361</v>
      </c>
      <c r="D44" s="452" t="s">
        <v>20</v>
      </c>
      <c r="E44" s="452" t="s">
        <v>641</v>
      </c>
      <c r="F44" s="452" t="s">
        <v>20</v>
      </c>
      <c r="G44" s="452" t="s">
        <v>458</v>
      </c>
      <c r="H44" s="452" t="s">
        <v>469</v>
      </c>
      <c r="I44" s="452" t="s">
        <v>525</v>
      </c>
      <c r="J44" s="452"/>
      <c r="K44" s="452" t="s">
        <v>470</v>
      </c>
      <c r="L44" s="452" t="s">
        <v>107</v>
      </c>
      <c r="M44" s="452" t="s">
        <v>196</v>
      </c>
      <c r="N44" s="87">
        <v>92.367852999999997</v>
      </c>
      <c r="O44" s="87">
        <v>20.825306000000001</v>
      </c>
      <c r="P44" s="461"/>
      <c r="Q44" s="331">
        <v>5</v>
      </c>
      <c r="R44" s="331">
        <v>38</v>
      </c>
      <c r="S44" s="332">
        <v>7.6</v>
      </c>
      <c r="T44" s="452" t="s">
        <v>352</v>
      </c>
      <c r="U44" s="452" t="s">
        <v>786</v>
      </c>
      <c r="V44" s="452" t="s">
        <v>23</v>
      </c>
      <c r="W44" s="452"/>
      <c r="X44" s="452"/>
      <c r="Y44" s="452" t="s">
        <v>805</v>
      </c>
      <c r="Z44" s="452" t="s">
        <v>680</v>
      </c>
      <c r="AA44" s="452" t="str">
        <f>CONCATENATE(Camp_List[[#This Row],[Ethnicity]],"-",Camp_List[[#This Row],[Religion]])</f>
        <v xml:space="preserve"> -Muslim</v>
      </c>
      <c r="AB44" s="452" t="s">
        <v>688</v>
      </c>
      <c r="AC44" s="452" t="s">
        <v>288</v>
      </c>
      <c r="AD44" s="452" t="s">
        <v>515</v>
      </c>
      <c r="AE44" s="452" t="s">
        <v>531</v>
      </c>
      <c r="AF44" s="333">
        <v>42018</v>
      </c>
      <c r="AG44" s="452"/>
      <c r="AH44" s="87" t="str">
        <f>IFERROR(VLOOKUP(Camp_List[[#This Row],[Responsible Agency]],Organization_t[],3,0),"")</f>
        <v>Richard Warren</v>
      </c>
      <c r="AI44" s="355">
        <f>IF((SUMIFS(Data_Shelter_t[Coverage],Data_Shelter_t[Pcode],Camp_List[[#This Row],[P_Code]]))&gt;1,1,SUMIFS(Data_Shelter_t[Coverage],Data_Shelter_t[Pcode],Camp_List[[#This Row],[P_Code]]))</f>
        <v>0</v>
      </c>
      <c r="BL44" s="21"/>
      <c r="BM44" s="21"/>
      <c r="BO44" s="81"/>
      <c r="BP44" s="81"/>
    </row>
    <row r="45" spans="1:68" ht="15" hidden="1" customHeight="1" x14ac:dyDescent="0.25">
      <c r="A45" s="452" t="s">
        <v>359</v>
      </c>
      <c r="B45" s="452" t="s">
        <v>7</v>
      </c>
      <c r="C45" s="452" t="s">
        <v>361</v>
      </c>
      <c r="D45" s="452" t="s">
        <v>20</v>
      </c>
      <c r="E45" s="452" t="s">
        <v>641</v>
      </c>
      <c r="F45" s="452" t="s">
        <v>20</v>
      </c>
      <c r="G45" s="452" t="s">
        <v>458</v>
      </c>
      <c r="H45" s="452" t="s">
        <v>467</v>
      </c>
      <c r="I45" s="452" t="s">
        <v>468</v>
      </c>
      <c r="J45" s="452" t="s">
        <v>476</v>
      </c>
      <c r="K45" s="452">
        <v>217897</v>
      </c>
      <c r="L45" s="452" t="s">
        <v>101</v>
      </c>
      <c r="M45" s="452" t="s">
        <v>190</v>
      </c>
      <c r="N45" s="337">
        <v>92.416263999999998</v>
      </c>
      <c r="O45" s="337">
        <v>20.796128</v>
      </c>
      <c r="P45" s="461"/>
      <c r="Q45" s="331"/>
      <c r="R45" s="331"/>
      <c r="S45" s="332">
        <v>0</v>
      </c>
      <c r="T45" s="452" t="s">
        <v>352</v>
      </c>
      <c r="U45" s="452" t="s">
        <v>786</v>
      </c>
      <c r="V45" s="452" t="s">
        <v>22</v>
      </c>
      <c r="W45" s="460"/>
      <c r="X45" s="452"/>
      <c r="Y45" s="452"/>
      <c r="Z45" s="452"/>
      <c r="AA45" s="452" t="str">
        <f>CONCATENATE(Camp_List[[#This Row],[Ethnicity]],"-",Camp_List[[#This Row],[Religion]])</f>
        <v>-</v>
      </c>
      <c r="AB45" s="452"/>
      <c r="AC45" s="452" t="s">
        <v>805</v>
      </c>
      <c r="AD45" s="452" t="s">
        <v>515</v>
      </c>
      <c r="AE45" s="452" t="s">
        <v>531</v>
      </c>
      <c r="AF45" s="333">
        <v>41520</v>
      </c>
      <c r="AG45" s="452"/>
      <c r="AH45" s="87">
        <f>IFERROR(VLOOKUP(Camp_List[[#This Row],[Responsible Agency]],Organization_t[],3,0),"")</f>
        <v>0</v>
      </c>
      <c r="AI45" s="355">
        <f ca="1">IF((SUMIFS(Data_Shelter_t[Coverage],Data_Shelter_t[Pcode],Camp_List[[#This Row],[P_Code]]))&gt;1,1,SUMIFS(Data_Shelter_t[Coverage],Data_Shelter_t[Pcode],Camp_List[[#This Row],[P_Code]]))</f>
        <v>0</v>
      </c>
      <c r="BL45" s="21"/>
      <c r="BM45" s="21"/>
      <c r="BO45" s="81"/>
      <c r="BP45" s="81"/>
    </row>
    <row r="46" spans="1:68" ht="15" hidden="1" customHeight="1" x14ac:dyDescent="0.25">
      <c r="A46" s="452" t="s">
        <v>359</v>
      </c>
      <c r="B46" s="452" t="s">
        <v>7</v>
      </c>
      <c r="C46" s="452" t="s">
        <v>629</v>
      </c>
      <c r="D46" s="452" t="s">
        <v>20</v>
      </c>
      <c r="E46" s="452" t="s">
        <v>641</v>
      </c>
      <c r="F46" s="452" t="s">
        <v>20</v>
      </c>
      <c r="G46" s="452" t="s">
        <v>458</v>
      </c>
      <c r="H46" s="452" t="s">
        <v>523</v>
      </c>
      <c r="I46" s="452" t="s">
        <v>525</v>
      </c>
      <c r="J46" s="452"/>
      <c r="K46" s="452"/>
      <c r="L46" s="452" t="s">
        <v>633</v>
      </c>
      <c r="M46" s="452" t="s">
        <v>637</v>
      </c>
      <c r="N46" s="87">
        <v>92.365618999999995</v>
      </c>
      <c r="O46" s="87">
        <v>20.820316999999999</v>
      </c>
      <c r="P46" s="452"/>
      <c r="Q46" s="331"/>
      <c r="R46" s="331"/>
      <c r="S46" s="332">
        <v>0</v>
      </c>
      <c r="T46" s="452" t="s">
        <v>352</v>
      </c>
      <c r="U46" s="452" t="s">
        <v>786</v>
      </c>
      <c r="V46" s="452" t="s">
        <v>22</v>
      </c>
      <c r="W46" s="460"/>
      <c r="X46" s="452"/>
      <c r="Y46" s="452"/>
      <c r="Z46" s="452"/>
      <c r="AA46" s="452" t="str">
        <f>CONCATENATE(Camp_List[[#This Row],[Ethnicity]],"-",Camp_List[[#This Row],[Religion]])</f>
        <v>-</v>
      </c>
      <c r="AB46" s="452"/>
      <c r="AC46" s="452" t="s">
        <v>805</v>
      </c>
      <c r="AD46" s="452" t="s">
        <v>515</v>
      </c>
      <c r="AE46" s="452" t="s">
        <v>531</v>
      </c>
      <c r="AF46" s="333">
        <v>41548</v>
      </c>
      <c r="AG46" s="452"/>
      <c r="AH46" s="87">
        <f>IFERROR(VLOOKUP(Camp_List[[#This Row],[Responsible Agency]],Organization_t[],3,0),"")</f>
        <v>0</v>
      </c>
      <c r="AI46" s="355">
        <f>IF((SUMIFS(Data_Shelter_t[Coverage],Data_Shelter_t[Pcode],Camp_List[[#This Row],[P_Code]]))&gt;1,1,SUMIFS(Data_Shelter_t[Coverage],Data_Shelter_t[Pcode],Camp_List[[#This Row],[P_Code]]))</f>
        <v>0</v>
      </c>
      <c r="BL46" s="21"/>
      <c r="BM46" s="21"/>
      <c r="BO46" s="81"/>
      <c r="BP46" s="81"/>
    </row>
    <row r="47" spans="1:68" ht="15" hidden="1" customHeight="1" x14ac:dyDescent="0.25">
      <c r="A47" s="452" t="s">
        <v>359</v>
      </c>
      <c r="B47" s="452" t="s">
        <v>7</v>
      </c>
      <c r="C47" s="452" t="s">
        <v>361</v>
      </c>
      <c r="D47" s="452" t="s">
        <v>20</v>
      </c>
      <c r="E47" s="452" t="s">
        <v>641</v>
      </c>
      <c r="F47" s="452" t="s">
        <v>20</v>
      </c>
      <c r="G47" s="452" t="s">
        <v>458</v>
      </c>
      <c r="H47" s="452" t="s">
        <v>467</v>
      </c>
      <c r="I47" s="452" t="s">
        <v>468</v>
      </c>
      <c r="J47" s="452" t="s">
        <v>472</v>
      </c>
      <c r="K47" s="452">
        <v>217895</v>
      </c>
      <c r="L47" s="452" t="s">
        <v>103</v>
      </c>
      <c r="M47" s="452" t="s">
        <v>192</v>
      </c>
      <c r="N47" s="337">
        <v>92.423364000000007</v>
      </c>
      <c r="O47" s="337">
        <v>20.801544</v>
      </c>
      <c r="P47" s="461"/>
      <c r="Q47" s="331"/>
      <c r="R47" s="331"/>
      <c r="S47" s="332">
        <v>0</v>
      </c>
      <c r="T47" s="452" t="s">
        <v>352</v>
      </c>
      <c r="U47" s="452" t="s">
        <v>786</v>
      </c>
      <c r="V47" s="452" t="s">
        <v>22</v>
      </c>
      <c r="W47" s="460"/>
      <c r="X47" s="452"/>
      <c r="Y47" s="452"/>
      <c r="Z47" s="452"/>
      <c r="AA47" s="452" t="str">
        <f>CONCATENATE(Camp_List[[#This Row],[Ethnicity]],"-",Camp_List[[#This Row],[Religion]])</f>
        <v>-</v>
      </c>
      <c r="AB47" s="452"/>
      <c r="AC47" s="452" t="s">
        <v>805</v>
      </c>
      <c r="AD47" s="452" t="s">
        <v>515</v>
      </c>
      <c r="AE47" s="452" t="s">
        <v>531</v>
      </c>
      <c r="AF47" s="333">
        <v>41520</v>
      </c>
      <c r="AG47" s="452"/>
      <c r="AH47" s="87">
        <f>IFERROR(VLOOKUP(Camp_List[[#This Row],[Responsible Agency]],Organization_t[],3,0),"")</f>
        <v>0</v>
      </c>
      <c r="AI47" s="355">
        <f ca="1">IF((SUMIFS(Data_Shelter_t[Coverage],Data_Shelter_t[Pcode],Camp_List[[#This Row],[P_Code]]))&gt;1,1,SUMIFS(Data_Shelter_t[Coverage],Data_Shelter_t[Pcode],Camp_List[[#This Row],[P_Code]]))</f>
        <v>0</v>
      </c>
      <c r="BL47" s="21"/>
      <c r="BM47" s="21"/>
      <c r="BO47" s="81"/>
      <c r="BP47" s="81"/>
    </row>
    <row r="48" spans="1:68" ht="15" hidden="1" customHeight="1" x14ac:dyDescent="0.25">
      <c r="A48" s="452" t="s">
        <v>359</v>
      </c>
      <c r="B48" s="452" t="s">
        <v>7</v>
      </c>
      <c r="C48" s="452" t="s">
        <v>361</v>
      </c>
      <c r="D48" s="452" t="s">
        <v>20</v>
      </c>
      <c r="E48" s="452" t="s">
        <v>641</v>
      </c>
      <c r="F48" s="452" t="s">
        <v>20</v>
      </c>
      <c r="G48" s="452" t="s">
        <v>458</v>
      </c>
      <c r="H48" s="452" t="s">
        <v>477</v>
      </c>
      <c r="I48" s="452" t="s">
        <v>478</v>
      </c>
      <c r="J48" s="452" t="s">
        <v>479</v>
      </c>
      <c r="K48" s="452">
        <v>217898</v>
      </c>
      <c r="L48" s="452" t="s">
        <v>102</v>
      </c>
      <c r="M48" s="452" t="s">
        <v>191</v>
      </c>
      <c r="N48" s="337">
        <v>92.424138999999997</v>
      </c>
      <c r="O48" s="337">
        <v>20.762730999999999</v>
      </c>
      <c r="P48" s="461"/>
      <c r="Q48" s="331"/>
      <c r="R48" s="331"/>
      <c r="S48" s="332">
        <v>0</v>
      </c>
      <c r="T48" s="452" t="s">
        <v>352</v>
      </c>
      <c r="U48" s="452" t="s">
        <v>786</v>
      </c>
      <c r="V48" s="452" t="s">
        <v>22</v>
      </c>
      <c r="W48" s="460"/>
      <c r="X48" s="452"/>
      <c r="Y48" s="452"/>
      <c r="Z48" s="452"/>
      <c r="AA48" s="452" t="str">
        <f>CONCATENATE(Camp_List[[#This Row],[Ethnicity]],"-",Camp_List[[#This Row],[Religion]])</f>
        <v>-</v>
      </c>
      <c r="AB48" s="452"/>
      <c r="AC48" s="452" t="s">
        <v>805</v>
      </c>
      <c r="AD48" s="452" t="s">
        <v>515</v>
      </c>
      <c r="AE48" s="452" t="s">
        <v>531</v>
      </c>
      <c r="AF48" s="333">
        <v>41520</v>
      </c>
      <c r="AG48" s="452"/>
      <c r="AH48" s="87">
        <f>IFERROR(VLOOKUP(Camp_List[[#This Row],[Responsible Agency]],Organization_t[],3,0),"")</f>
        <v>0</v>
      </c>
      <c r="AI48" s="355">
        <f ca="1">IF((SUMIFS(Data_Shelter_t[Coverage],Data_Shelter_t[Pcode],Camp_List[[#This Row],[P_Code]]))&gt;1,1,SUMIFS(Data_Shelter_t[Coverage],Data_Shelter_t[Pcode],Camp_List[[#This Row],[P_Code]]))</f>
        <v>0</v>
      </c>
      <c r="BL48" s="21"/>
      <c r="BM48" s="21"/>
      <c r="BO48" s="81"/>
      <c r="BP48" s="81"/>
    </row>
    <row r="49" spans="1:68" ht="15" hidden="1" customHeight="1" x14ac:dyDescent="0.25">
      <c r="A49" s="452" t="s">
        <v>359</v>
      </c>
      <c r="B49" s="452" t="s">
        <v>7</v>
      </c>
      <c r="C49" s="452" t="s">
        <v>361</v>
      </c>
      <c r="D49" s="452" t="s">
        <v>20</v>
      </c>
      <c r="E49" s="452" t="s">
        <v>641</v>
      </c>
      <c r="F49" s="452" t="s">
        <v>20</v>
      </c>
      <c r="G49" s="452" t="s">
        <v>458</v>
      </c>
      <c r="H49" s="452" t="s">
        <v>280</v>
      </c>
      <c r="I49" s="452" t="s">
        <v>280</v>
      </c>
      <c r="J49" s="452" t="s">
        <v>280</v>
      </c>
      <c r="K49" s="452" t="s">
        <v>280</v>
      </c>
      <c r="L49" s="452" t="s">
        <v>100</v>
      </c>
      <c r="M49" s="452" t="s">
        <v>189</v>
      </c>
      <c r="N49" s="338" t="s">
        <v>280</v>
      </c>
      <c r="O49" s="338" t="s">
        <v>280</v>
      </c>
      <c r="P49" s="462"/>
      <c r="Q49" s="331"/>
      <c r="R49" s="331"/>
      <c r="S49" s="332">
        <v>0</v>
      </c>
      <c r="T49" s="452" t="s">
        <v>352</v>
      </c>
      <c r="U49" s="452" t="s">
        <v>786</v>
      </c>
      <c r="V49" s="452" t="s">
        <v>22</v>
      </c>
      <c r="W49" s="460"/>
      <c r="X49" s="452"/>
      <c r="Y49" s="452"/>
      <c r="Z49" s="452"/>
      <c r="AA49" s="452" t="str">
        <f>CONCATENATE(Camp_List[[#This Row],[Ethnicity]],"-",Camp_List[[#This Row],[Religion]])</f>
        <v>-</v>
      </c>
      <c r="AB49" s="452"/>
      <c r="AC49" s="452" t="s">
        <v>805</v>
      </c>
      <c r="AD49" s="452" t="s">
        <v>515</v>
      </c>
      <c r="AE49" s="452" t="s">
        <v>531</v>
      </c>
      <c r="AF49" s="333">
        <v>41520</v>
      </c>
      <c r="AG49" s="452"/>
      <c r="AH49" s="87">
        <f>IFERROR(VLOOKUP(Camp_List[[#This Row],[Responsible Agency]],Organization_t[],3,0),"")</f>
        <v>0</v>
      </c>
      <c r="AI49" s="355">
        <f ca="1">IF((SUMIFS(Data_Shelter_t[Coverage],Data_Shelter_t[Pcode],Camp_List[[#This Row],[P_Code]]))&gt;1,1,SUMIFS(Data_Shelter_t[Coverage],Data_Shelter_t[Pcode],Camp_List[[#This Row],[P_Code]]))</f>
        <v>0</v>
      </c>
      <c r="BL49" s="21"/>
      <c r="BM49" s="21"/>
      <c r="BO49" s="81"/>
      <c r="BP49" s="81"/>
    </row>
    <row r="50" spans="1:68" ht="15" hidden="1" customHeight="1" x14ac:dyDescent="0.25">
      <c r="A50" s="452" t="s">
        <v>359</v>
      </c>
      <c r="B50" s="452" t="s">
        <v>7</v>
      </c>
      <c r="C50" s="452" t="s">
        <v>361</v>
      </c>
      <c r="D50" s="452" t="s">
        <v>20</v>
      </c>
      <c r="E50" s="452" t="s">
        <v>641</v>
      </c>
      <c r="F50" s="452" t="s">
        <v>20</v>
      </c>
      <c r="G50" s="452" t="s">
        <v>458</v>
      </c>
      <c r="H50" s="452" t="s">
        <v>280</v>
      </c>
      <c r="I50" s="452" t="s">
        <v>280</v>
      </c>
      <c r="J50" s="452" t="s">
        <v>280</v>
      </c>
      <c r="K50" s="452" t="s">
        <v>280</v>
      </c>
      <c r="L50" s="452" t="s">
        <v>98</v>
      </c>
      <c r="M50" s="452" t="s">
        <v>187</v>
      </c>
      <c r="N50" s="338" t="s">
        <v>280</v>
      </c>
      <c r="O50" s="338" t="s">
        <v>280</v>
      </c>
      <c r="P50" s="462"/>
      <c r="Q50" s="331"/>
      <c r="R50" s="331"/>
      <c r="S50" s="332">
        <v>0</v>
      </c>
      <c r="T50" s="452" t="s">
        <v>352</v>
      </c>
      <c r="U50" s="452" t="s">
        <v>786</v>
      </c>
      <c r="V50" s="452" t="s">
        <v>22</v>
      </c>
      <c r="W50" s="460"/>
      <c r="X50" s="452"/>
      <c r="Y50" s="452"/>
      <c r="Z50" s="452"/>
      <c r="AA50" s="452" t="str">
        <f>CONCATENATE(Camp_List[[#This Row],[Ethnicity]],"-",Camp_List[[#This Row],[Religion]])</f>
        <v>-</v>
      </c>
      <c r="AB50" s="452"/>
      <c r="AC50" s="452" t="s">
        <v>805</v>
      </c>
      <c r="AD50" s="452" t="s">
        <v>515</v>
      </c>
      <c r="AE50" s="452" t="s">
        <v>531</v>
      </c>
      <c r="AF50" s="333">
        <v>41520</v>
      </c>
      <c r="AG50" s="452"/>
      <c r="AH50" s="87">
        <f>IFERROR(VLOOKUP(Camp_List[[#This Row],[Responsible Agency]],Organization_t[],3,0),"")</f>
        <v>0</v>
      </c>
      <c r="AI50" s="355">
        <f ca="1">IF((SUMIFS(Data_Shelter_t[Coverage],Data_Shelter_t[Pcode],Camp_List[[#This Row],[P_Code]]))&gt;1,1,SUMIFS(Data_Shelter_t[Coverage],Data_Shelter_t[Pcode],Camp_List[[#This Row],[P_Code]]))</f>
        <v>0</v>
      </c>
      <c r="BL50" s="21"/>
      <c r="BM50" s="21"/>
      <c r="BO50" s="81"/>
      <c r="BP50" s="81"/>
    </row>
    <row r="51" spans="1:68" ht="15" hidden="1" customHeight="1" x14ac:dyDescent="0.25">
      <c r="A51" s="452" t="s">
        <v>359</v>
      </c>
      <c r="B51" s="452" t="s">
        <v>7</v>
      </c>
      <c r="C51" s="452" t="s">
        <v>361</v>
      </c>
      <c r="D51" s="452" t="s">
        <v>20</v>
      </c>
      <c r="E51" s="452" t="s">
        <v>641</v>
      </c>
      <c r="F51" s="452" t="s">
        <v>20</v>
      </c>
      <c r="G51" s="452" t="s">
        <v>458</v>
      </c>
      <c r="H51" s="454" t="s">
        <v>457</v>
      </c>
      <c r="I51" s="452" t="s">
        <v>456</v>
      </c>
      <c r="J51" s="452" t="s">
        <v>482</v>
      </c>
      <c r="K51" s="452">
        <v>198016</v>
      </c>
      <c r="L51" s="452" t="s">
        <v>99</v>
      </c>
      <c r="M51" s="452" t="s">
        <v>188</v>
      </c>
      <c r="N51" s="87">
        <v>92.429599999999994</v>
      </c>
      <c r="O51" s="87">
        <v>20.729866999999999</v>
      </c>
      <c r="P51" s="461"/>
      <c r="Q51" s="331"/>
      <c r="R51" s="331"/>
      <c r="S51" s="332">
        <v>0</v>
      </c>
      <c r="T51" s="452" t="s">
        <v>352</v>
      </c>
      <c r="U51" s="452" t="s">
        <v>786</v>
      </c>
      <c r="V51" s="452" t="s">
        <v>22</v>
      </c>
      <c r="W51" s="460"/>
      <c r="X51" s="452"/>
      <c r="Y51" s="452"/>
      <c r="Z51" s="452"/>
      <c r="AA51" s="452" t="str">
        <f>CONCATENATE(Camp_List[[#This Row],[Ethnicity]],"-",Camp_List[[#This Row],[Religion]])</f>
        <v>-</v>
      </c>
      <c r="AB51" s="452"/>
      <c r="AC51" s="452" t="s">
        <v>805</v>
      </c>
      <c r="AD51" s="452" t="s">
        <v>515</v>
      </c>
      <c r="AE51" s="452" t="s">
        <v>531</v>
      </c>
      <c r="AF51" s="333">
        <v>41520</v>
      </c>
      <c r="AG51" s="452"/>
      <c r="AH51" s="87">
        <f>IFERROR(VLOOKUP(Camp_List[[#This Row],[Responsible Agency]],Organization_t[],3,0),"")</f>
        <v>0</v>
      </c>
      <c r="AI51" s="355">
        <f ca="1">IF((SUMIFS(Data_Shelter_t[Coverage],Data_Shelter_t[Pcode],Camp_List[[#This Row],[P_Code]]))&gt;1,1,SUMIFS(Data_Shelter_t[Coverage],Data_Shelter_t[Pcode],Camp_List[[#This Row],[P_Code]]))</f>
        <v>0</v>
      </c>
      <c r="BL51" s="21"/>
      <c r="BM51" s="21"/>
      <c r="BO51" s="81"/>
      <c r="BP51" s="81"/>
    </row>
    <row r="52" spans="1:68" ht="15" hidden="1" customHeight="1" x14ac:dyDescent="0.25">
      <c r="A52" s="452" t="s">
        <v>359</v>
      </c>
      <c r="B52" s="452" t="s">
        <v>7</v>
      </c>
      <c r="C52" s="452" t="s">
        <v>630</v>
      </c>
      <c r="D52" s="452" t="s">
        <v>20</v>
      </c>
      <c r="E52" s="452" t="s">
        <v>641</v>
      </c>
      <c r="F52" s="452" t="s">
        <v>20</v>
      </c>
      <c r="G52" s="452" t="s">
        <v>458</v>
      </c>
      <c r="H52" s="452" t="s">
        <v>523</v>
      </c>
      <c r="I52" s="452" t="s">
        <v>525</v>
      </c>
      <c r="J52" s="452"/>
      <c r="K52" s="452"/>
      <c r="L52" s="452" t="s">
        <v>634</v>
      </c>
      <c r="M52" s="452" t="s">
        <v>638</v>
      </c>
      <c r="N52" s="87">
        <v>92.367536000000001</v>
      </c>
      <c r="O52" s="87">
        <v>20.825500000000002</v>
      </c>
      <c r="P52" s="452"/>
      <c r="Q52" s="331"/>
      <c r="R52" s="331"/>
      <c r="S52" s="332">
        <v>0</v>
      </c>
      <c r="T52" s="452" t="s">
        <v>352</v>
      </c>
      <c r="U52" s="452" t="s">
        <v>786</v>
      </c>
      <c r="V52" s="452" t="s">
        <v>22</v>
      </c>
      <c r="W52" s="460"/>
      <c r="X52" s="452"/>
      <c r="Y52" s="452"/>
      <c r="Z52" s="452"/>
      <c r="AA52" s="452" t="str">
        <f>CONCATENATE(Camp_List[[#This Row],[Ethnicity]],"-",Camp_List[[#This Row],[Religion]])</f>
        <v>-</v>
      </c>
      <c r="AB52" s="452"/>
      <c r="AC52" s="452" t="s">
        <v>805</v>
      </c>
      <c r="AD52" s="452" t="s">
        <v>515</v>
      </c>
      <c r="AE52" s="452" t="s">
        <v>531</v>
      </c>
      <c r="AF52" s="333">
        <v>41548</v>
      </c>
      <c r="AG52" s="452"/>
      <c r="AH52" s="87">
        <f>IFERROR(VLOOKUP(Camp_List[[#This Row],[Responsible Agency]],Organization_t[],3,0),"")</f>
        <v>0</v>
      </c>
      <c r="AI52" s="355">
        <f>IF((SUMIFS(Data_Shelter_t[Coverage],Data_Shelter_t[Pcode],Camp_List[[#This Row],[P_Code]]))&gt;1,1,SUMIFS(Data_Shelter_t[Coverage],Data_Shelter_t[Pcode],Camp_List[[#This Row],[P_Code]]))</f>
        <v>0</v>
      </c>
      <c r="BL52" s="21"/>
      <c r="BM52" s="21"/>
      <c r="BO52" s="81"/>
      <c r="BP52" s="81"/>
    </row>
    <row r="53" spans="1:68" ht="15" hidden="1" customHeight="1" x14ac:dyDescent="0.25">
      <c r="A53" s="452" t="s">
        <v>359</v>
      </c>
      <c r="B53" s="452" t="s">
        <v>7</v>
      </c>
      <c r="C53" s="452" t="s">
        <v>361</v>
      </c>
      <c r="D53" s="452" t="s">
        <v>19</v>
      </c>
      <c r="E53" s="452" t="s">
        <v>623</v>
      </c>
      <c r="F53" s="452" t="s">
        <v>19</v>
      </c>
      <c r="G53" s="452" t="s">
        <v>423</v>
      </c>
      <c r="H53" s="452" t="s">
        <v>429</v>
      </c>
      <c r="I53" s="452" t="s">
        <v>428</v>
      </c>
      <c r="J53" s="452" t="s">
        <v>506</v>
      </c>
      <c r="K53" s="452">
        <v>196192</v>
      </c>
      <c r="L53" s="452" t="s">
        <v>62</v>
      </c>
      <c r="M53" s="452" t="s">
        <v>151</v>
      </c>
      <c r="N53" s="87">
        <v>92.807418999999996</v>
      </c>
      <c r="O53" s="87">
        <v>20.181238</v>
      </c>
      <c r="P53" s="452"/>
      <c r="Q53" s="331"/>
      <c r="R53" s="331"/>
      <c r="S53" s="332">
        <v>0</v>
      </c>
      <c r="T53" s="452" t="s">
        <v>352</v>
      </c>
      <c r="U53" s="452" t="s">
        <v>786</v>
      </c>
      <c r="V53" s="452" t="s">
        <v>22</v>
      </c>
      <c r="W53" s="460"/>
      <c r="X53" s="452"/>
      <c r="Y53" s="452"/>
      <c r="Z53" s="452"/>
      <c r="AA53" s="452" t="str">
        <f>CONCATENATE(Camp_List[[#This Row],[Ethnicity]],"-",Camp_List[[#This Row],[Religion]])</f>
        <v>-</v>
      </c>
      <c r="AB53" s="452"/>
      <c r="AC53" s="452" t="s">
        <v>805</v>
      </c>
      <c r="AD53" s="452" t="s">
        <v>515</v>
      </c>
      <c r="AE53" s="452" t="s">
        <v>531</v>
      </c>
      <c r="AF53" s="333">
        <v>41548</v>
      </c>
      <c r="AG53" s="452"/>
      <c r="AH53" s="87">
        <f>IFERROR(VLOOKUP(Camp_List[[#This Row],[Responsible Agency]],Organization_t[],3,0),"")</f>
        <v>0</v>
      </c>
      <c r="AI53" s="355">
        <f>IF((SUMIFS(Data_Shelter_t[Coverage],Data_Shelter_t[Pcode],Camp_List[[#This Row],[P_Code]]))&gt;1,1,SUMIFS(Data_Shelter_t[Coverage],Data_Shelter_t[Pcode],Camp_List[[#This Row],[P_Code]]))</f>
        <v>0</v>
      </c>
      <c r="BL53" s="21"/>
      <c r="BM53" s="21"/>
      <c r="BO53" s="81"/>
      <c r="BP53" s="81"/>
    </row>
    <row r="54" spans="1:68" hidden="1" x14ac:dyDescent="0.25">
      <c r="A54" s="452" t="s">
        <v>359</v>
      </c>
      <c r="B54" s="452" t="s">
        <v>7</v>
      </c>
      <c r="C54" s="452" t="s">
        <v>361</v>
      </c>
      <c r="D54" s="452" t="s">
        <v>19</v>
      </c>
      <c r="E54" s="452" t="s">
        <v>623</v>
      </c>
      <c r="F54" s="452" t="s">
        <v>19</v>
      </c>
      <c r="G54" s="452" t="s">
        <v>423</v>
      </c>
      <c r="H54" s="452" t="s">
        <v>440</v>
      </c>
      <c r="I54" s="452" t="s">
        <v>576</v>
      </c>
      <c r="J54" s="452"/>
      <c r="K54" s="452" t="s">
        <v>441</v>
      </c>
      <c r="L54" s="452" t="s">
        <v>77</v>
      </c>
      <c r="M54" s="452" t="s">
        <v>166</v>
      </c>
      <c r="N54" s="87">
        <v>92.889384000000007</v>
      </c>
      <c r="O54" s="87">
        <v>20.135473999999999</v>
      </c>
      <c r="P54" s="452"/>
      <c r="Q54" s="331"/>
      <c r="R54" s="331"/>
      <c r="S54" s="332">
        <v>0</v>
      </c>
      <c r="T54" s="452" t="s">
        <v>352</v>
      </c>
      <c r="U54" s="452" t="s">
        <v>786</v>
      </c>
      <c r="V54" s="452" t="s">
        <v>22</v>
      </c>
      <c r="W54" s="460"/>
      <c r="X54" s="452"/>
      <c r="Y54" s="452"/>
      <c r="Z54" s="452"/>
      <c r="AA54" s="452" t="str">
        <f>CONCATENATE(Camp_List[[#This Row],[Ethnicity]],"-",Camp_List[[#This Row],[Religion]])</f>
        <v>-</v>
      </c>
      <c r="AB54" s="452"/>
      <c r="AC54" s="452" t="s">
        <v>805</v>
      </c>
      <c r="AD54" s="452" t="s">
        <v>515</v>
      </c>
      <c r="AE54" s="452" t="s">
        <v>531</v>
      </c>
      <c r="AF54" s="333">
        <v>41520</v>
      </c>
      <c r="AG54" s="452"/>
      <c r="AH54" s="87">
        <f>IFERROR(VLOOKUP(Camp_List[[#This Row],[Responsible Agency]],Organization_t[],3,0),"")</f>
        <v>0</v>
      </c>
      <c r="AI54" s="355">
        <f>IF((SUMIFS(Data_Shelter_t[Coverage],Data_Shelter_t[Pcode],Camp_List[[#This Row],[P_Code]]))&gt;1,1,SUMIFS(Data_Shelter_t[Coverage],Data_Shelter_t[Pcode],Camp_List[[#This Row],[P_Code]]))</f>
        <v>0</v>
      </c>
      <c r="BL54" s="21"/>
      <c r="BM54" s="21"/>
      <c r="BO54" s="81"/>
      <c r="BP54" s="81"/>
    </row>
    <row r="55" spans="1:68" hidden="1" x14ac:dyDescent="0.25">
      <c r="A55" s="452" t="s">
        <v>359</v>
      </c>
      <c r="B55" s="452" t="s">
        <v>7</v>
      </c>
      <c r="C55" s="452" t="s">
        <v>361</v>
      </c>
      <c r="D55" s="452" t="s">
        <v>19</v>
      </c>
      <c r="E55" s="452" t="s">
        <v>623</v>
      </c>
      <c r="F55" s="452" t="s">
        <v>19</v>
      </c>
      <c r="G55" s="452" t="s">
        <v>423</v>
      </c>
      <c r="H55" s="452" t="s">
        <v>434</v>
      </c>
      <c r="I55" s="452" t="s">
        <v>576</v>
      </c>
      <c r="J55" s="452"/>
      <c r="K55" s="452" t="s">
        <v>435</v>
      </c>
      <c r="L55" s="452" t="s">
        <v>79</v>
      </c>
      <c r="M55" s="452" t="s">
        <v>168</v>
      </c>
      <c r="N55" s="87">
        <v>92.897177999999997</v>
      </c>
      <c r="O55" s="87">
        <v>20.153129</v>
      </c>
      <c r="P55" s="452"/>
      <c r="Q55" s="331"/>
      <c r="R55" s="331"/>
      <c r="S55" s="332">
        <v>0</v>
      </c>
      <c r="T55" s="452" t="s">
        <v>352</v>
      </c>
      <c r="U55" s="452" t="s">
        <v>786</v>
      </c>
      <c r="V55" s="452" t="s">
        <v>22</v>
      </c>
      <c r="W55" s="460"/>
      <c r="X55" s="452"/>
      <c r="Y55" s="452"/>
      <c r="Z55" s="452"/>
      <c r="AA55" s="452" t="str">
        <f>CONCATENATE(Camp_List[[#This Row],[Ethnicity]],"-",Camp_List[[#This Row],[Religion]])</f>
        <v>-</v>
      </c>
      <c r="AB55" s="452"/>
      <c r="AC55" s="452" t="s">
        <v>805</v>
      </c>
      <c r="AD55" s="452" t="s">
        <v>515</v>
      </c>
      <c r="AE55" s="452" t="s">
        <v>531</v>
      </c>
      <c r="AF55" s="333">
        <v>41520</v>
      </c>
      <c r="AG55" s="452"/>
      <c r="AH55" s="87">
        <f>IFERROR(VLOOKUP(Camp_List[[#This Row],[Responsible Agency]],Organization_t[],3,0),"")</f>
        <v>0</v>
      </c>
      <c r="AI55" s="355">
        <f>IF((SUMIFS(Data_Shelter_t[Coverage],Data_Shelter_t[Pcode],Camp_List[[#This Row],[P_Code]]))&gt;1,1,SUMIFS(Data_Shelter_t[Coverage],Data_Shelter_t[Pcode],Camp_List[[#This Row],[P_Code]]))</f>
        <v>0</v>
      </c>
      <c r="BL55" s="21"/>
      <c r="BM55" s="21"/>
      <c r="BO55" s="81"/>
      <c r="BP55" s="81"/>
    </row>
    <row r="56" spans="1:68" hidden="1" x14ac:dyDescent="0.25">
      <c r="A56" s="452" t="s">
        <v>359</v>
      </c>
      <c r="B56" s="452" t="s">
        <v>7</v>
      </c>
      <c r="C56" s="452" t="s">
        <v>361</v>
      </c>
      <c r="D56" s="452" t="s">
        <v>19</v>
      </c>
      <c r="E56" s="452" t="s">
        <v>623</v>
      </c>
      <c r="F56" s="452" t="s">
        <v>19</v>
      </c>
      <c r="G56" s="452" t="s">
        <v>423</v>
      </c>
      <c r="H56" s="452" t="s">
        <v>429</v>
      </c>
      <c r="I56" s="452" t="s">
        <v>428</v>
      </c>
      <c r="J56" s="452"/>
      <c r="K56" s="452"/>
      <c r="L56" s="452" t="s">
        <v>567</v>
      </c>
      <c r="M56" s="452" t="s">
        <v>568</v>
      </c>
      <c r="N56" s="87">
        <v>92.816638999999995</v>
      </c>
      <c r="O56" s="87">
        <v>20.180194</v>
      </c>
      <c r="P56" s="452"/>
      <c r="Q56" s="331"/>
      <c r="R56" s="331"/>
      <c r="S56" s="332">
        <v>0</v>
      </c>
      <c r="T56" s="452" t="s">
        <v>352</v>
      </c>
      <c r="U56" s="452" t="s">
        <v>786</v>
      </c>
      <c r="V56" s="452" t="s">
        <v>22</v>
      </c>
      <c r="W56" s="460"/>
      <c r="X56" s="452"/>
      <c r="Y56" s="452"/>
      <c r="Z56" s="452"/>
      <c r="AA56" s="452" t="str">
        <f>CONCATENATE(Camp_List[[#This Row],[Ethnicity]],"-",Camp_List[[#This Row],[Religion]])</f>
        <v>-</v>
      </c>
      <c r="AB56" s="452"/>
      <c r="AC56" s="452" t="s">
        <v>805</v>
      </c>
      <c r="AD56" s="452" t="s">
        <v>515</v>
      </c>
      <c r="AE56" s="452" t="s">
        <v>531</v>
      </c>
      <c r="AF56" s="333">
        <v>41548</v>
      </c>
      <c r="AG56" s="452"/>
      <c r="AH56" s="87">
        <f>IFERROR(VLOOKUP(Camp_List[[#This Row],[Responsible Agency]],Organization_t[],3,0),"")</f>
        <v>0</v>
      </c>
      <c r="AI56" s="355">
        <f>IF((SUMIFS(Data_Shelter_t[Coverage],Data_Shelter_t[Pcode],Camp_List[[#This Row],[P_Code]]))&gt;1,1,SUMIFS(Data_Shelter_t[Coverage],Data_Shelter_t[Pcode],Camp_List[[#This Row],[P_Code]]))</f>
        <v>0</v>
      </c>
      <c r="BL56" s="21"/>
      <c r="BM56" s="21"/>
      <c r="BO56" s="81"/>
      <c r="BP56" s="81"/>
    </row>
    <row r="57" spans="1:68" hidden="1" x14ac:dyDescent="0.25">
      <c r="A57" s="452" t="s">
        <v>359</v>
      </c>
      <c r="B57" s="452" t="s">
        <v>7</v>
      </c>
      <c r="C57" s="452" t="s">
        <v>361</v>
      </c>
      <c r="D57" s="452" t="s">
        <v>19</v>
      </c>
      <c r="E57" s="452" t="s">
        <v>623</v>
      </c>
      <c r="F57" s="452" t="s">
        <v>19</v>
      </c>
      <c r="G57" s="452" t="s">
        <v>423</v>
      </c>
      <c r="H57" s="452" t="s">
        <v>427</v>
      </c>
      <c r="I57" s="452" t="s">
        <v>426</v>
      </c>
      <c r="J57" s="452" t="s">
        <v>513</v>
      </c>
      <c r="K57" s="452">
        <v>196207</v>
      </c>
      <c r="L57" s="452" t="s">
        <v>71</v>
      </c>
      <c r="M57" s="452" t="s">
        <v>160</v>
      </c>
      <c r="N57" s="87">
        <v>92.826407000000003</v>
      </c>
      <c r="O57" s="87">
        <v>20.175169</v>
      </c>
      <c r="P57" s="452"/>
      <c r="Q57" s="331"/>
      <c r="R57" s="331"/>
      <c r="S57" s="332">
        <v>0</v>
      </c>
      <c r="T57" s="452" t="s">
        <v>352</v>
      </c>
      <c r="U57" s="452" t="s">
        <v>786</v>
      </c>
      <c r="V57" s="452" t="s">
        <v>22</v>
      </c>
      <c r="W57" s="460"/>
      <c r="X57" s="452"/>
      <c r="Y57" s="452"/>
      <c r="Z57" s="452"/>
      <c r="AA57" s="452" t="str">
        <f>CONCATENATE(Camp_List[[#This Row],[Ethnicity]],"-",Camp_List[[#This Row],[Religion]])</f>
        <v>-</v>
      </c>
      <c r="AB57" s="452"/>
      <c r="AC57" s="452" t="s">
        <v>805</v>
      </c>
      <c r="AD57" s="452" t="s">
        <v>515</v>
      </c>
      <c r="AE57" s="452" t="s">
        <v>531</v>
      </c>
      <c r="AF57" s="333">
        <v>41520</v>
      </c>
      <c r="AG57" s="452"/>
      <c r="AH57" s="87">
        <f>IFERROR(VLOOKUP(Camp_List[[#This Row],[Responsible Agency]],Organization_t[],3,0),"")</f>
        <v>0</v>
      </c>
      <c r="AI57" s="355">
        <f>IF((SUMIFS(Data_Shelter_t[Coverage],Data_Shelter_t[Pcode],Camp_List[[#This Row],[P_Code]]))&gt;1,1,SUMIFS(Data_Shelter_t[Coverage],Data_Shelter_t[Pcode],Camp_List[[#This Row],[P_Code]]))</f>
        <v>0</v>
      </c>
      <c r="BL57" s="21"/>
      <c r="BM57" s="21"/>
      <c r="BO57" s="81"/>
      <c r="BP57" s="81"/>
    </row>
    <row r="58" spans="1:68" hidden="1" x14ac:dyDescent="0.25">
      <c r="A58" s="452" t="s">
        <v>359</v>
      </c>
      <c r="B58" s="452" t="s">
        <v>7</v>
      </c>
      <c r="C58" s="452" t="s">
        <v>361</v>
      </c>
      <c r="D58" s="452" t="s">
        <v>19</v>
      </c>
      <c r="E58" s="452" t="s">
        <v>623</v>
      </c>
      <c r="F58" s="452" t="s">
        <v>19</v>
      </c>
      <c r="G58" s="452" t="s">
        <v>423</v>
      </c>
      <c r="H58" s="455" t="s">
        <v>437</v>
      </c>
      <c r="I58" s="452" t="s">
        <v>576</v>
      </c>
      <c r="J58" s="452"/>
      <c r="K58" s="455" t="s">
        <v>436</v>
      </c>
      <c r="L58" s="452" t="s">
        <v>75</v>
      </c>
      <c r="M58" s="452" t="s">
        <v>164</v>
      </c>
      <c r="N58" s="87">
        <v>92.886889999999994</v>
      </c>
      <c r="O58" s="87">
        <v>20.132694999999998</v>
      </c>
      <c r="P58" s="452"/>
      <c r="Q58" s="331"/>
      <c r="R58" s="331"/>
      <c r="S58" s="332">
        <v>0</v>
      </c>
      <c r="T58" s="452" t="s">
        <v>352</v>
      </c>
      <c r="U58" s="452" t="s">
        <v>786</v>
      </c>
      <c r="V58" s="452" t="s">
        <v>22</v>
      </c>
      <c r="W58" s="460"/>
      <c r="X58" s="452"/>
      <c r="Y58" s="452"/>
      <c r="Z58" s="452"/>
      <c r="AA58" s="452" t="str">
        <f>CONCATENATE(Camp_List[[#This Row],[Ethnicity]],"-",Camp_List[[#This Row],[Religion]])</f>
        <v>-</v>
      </c>
      <c r="AB58" s="452"/>
      <c r="AC58" s="452" t="s">
        <v>805</v>
      </c>
      <c r="AD58" s="452" t="s">
        <v>515</v>
      </c>
      <c r="AE58" s="452" t="s">
        <v>531</v>
      </c>
      <c r="AF58" s="333">
        <v>41520</v>
      </c>
      <c r="AG58" s="452"/>
      <c r="AH58" s="87">
        <f>IFERROR(VLOOKUP(Camp_List[[#This Row],[Responsible Agency]],Organization_t[],3,0),"")</f>
        <v>0</v>
      </c>
      <c r="AI58" s="355">
        <f>IF((SUMIFS(Data_Shelter_t[Coverage],Data_Shelter_t[Pcode],Camp_List[[#This Row],[P_Code]]))&gt;1,1,SUMIFS(Data_Shelter_t[Coverage],Data_Shelter_t[Pcode],Camp_List[[#This Row],[P_Code]]))</f>
        <v>0</v>
      </c>
      <c r="BL58" s="21"/>
      <c r="BM58" s="21"/>
      <c r="BO58" s="81"/>
      <c r="BP58" s="81"/>
    </row>
    <row r="59" spans="1:68" hidden="1" x14ac:dyDescent="0.25">
      <c r="A59" s="452" t="s">
        <v>359</v>
      </c>
      <c r="B59" s="452" t="s">
        <v>7</v>
      </c>
      <c r="C59" s="452" t="s">
        <v>361</v>
      </c>
      <c r="D59" s="452" t="s">
        <v>19</v>
      </c>
      <c r="E59" s="452" t="s">
        <v>623</v>
      </c>
      <c r="F59" s="452" t="s">
        <v>19</v>
      </c>
      <c r="G59" s="452" t="s">
        <v>423</v>
      </c>
      <c r="H59" s="452" t="s">
        <v>438</v>
      </c>
      <c r="I59" s="452" t="s">
        <v>576</v>
      </c>
      <c r="J59" s="452"/>
      <c r="K59" s="452" t="s">
        <v>439</v>
      </c>
      <c r="L59" s="452" t="s">
        <v>76</v>
      </c>
      <c r="M59" s="452" t="s">
        <v>165</v>
      </c>
      <c r="N59" s="87">
        <v>92.860598999999993</v>
      </c>
      <c r="O59" s="87">
        <v>20.154343000000001</v>
      </c>
      <c r="P59" s="452"/>
      <c r="Q59" s="331"/>
      <c r="R59" s="331"/>
      <c r="S59" s="332">
        <v>0</v>
      </c>
      <c r="T59" s="452" t="s">
        <v>352</v>
      </c>
      <c r="U59" s="452" t="s">
        <v>786</v>
      </c>
      <c r="V59" s="452" t="s">
        <v>22</v>
      </c>
      <c r="W59" s="460"/>
      <c r="X59" s="452"/>
      <c r="Y59" s="452"/>
      <c r="Z59" s="452"/>
      <c r="AA59" s="452" t="str">
        <f>CONCATENATE(Camp_List[[#This Row],[Ethnicity]],"-",Camp_List[[#This Row],[Religion]])</f>
        <v>-</v>
      </c>
      <c r="AB59" s="452"/>
      <c r="AC59" s="452" t="s">
        <v>805</v>
      </c>
      <c r="AD59" s="452" t="s">
        <v>515</v>
      </c>
      <c r="AE59" s="452" t="s">
        <v>531</v>
      </c>
      <c r="AF59" s="333">
        <v>41520</v>
      </c>
      <c r="AG59" s="452"/>
      <c r="AH59" s="87">
        <f>IFERROR(VLOOKUP(Camp_List[[#This Row],[Responsible Agency]],Organization_t[],3,0),"")</f>
        <v>0</v>
      </c>
      <c r="AI59" s="355">
        <f>IF((SUMIFS(Data_Shelter_t[Coverage],Data_Shelter_t[Pcode],Camp_List[[#This Row],[P_Code]]))&gt;1,1,SUMIFS(Data_Shelter_t[Coverage],Data_Shelter_t[Pcode],Camp_List[[#This Row],[P_Code]]))</f>
        <v>0</v>
      </c>
      <c r="BL59" s="21"/>
      <c r="BM59" s="21"/>
      <c r="BO59" s="81"/>
      <c r="BP59" s="81"/>
    </row>
    <row r="60" spans="1:68" hidden="1" x14ac:dyDescent="0.25">
      <c r="A60" s="452" t="s">
        <v>359</v>
      </c>
      <c r="B60" s="452" t="s">
        <v>7</v>
      </c>
      <c r="C60" s="452" t="s">
        <v>361</v>
      </c>
      <c r="D60" s="452" t="s">
        <v>19</v>
      </c>
      <c r="E60" s="452" t="s">
        <v>623</v>
      </c>
      <c r="F60" s="452" t="s">
        <v>19</v>
      </c>
      <c r="G60" s="452" t="s">
        <v>423</v>
      </c>
      <c r="H60" s="452" t="s">
        <v>429</v>
      </c>
      <c r="I60" s="452" t="s">
        <v>428</v>
      </c>
      <c r="J60" s="452" t="s">
        <v>506</v>
      </c>
      <c r="K60" s="452">
        <v>196192</v>
      </c>
      <c r="L60" s="452" t="s">
        <v>65</v>
      </c>
      <c r="M60" s="452" t="s">
        <v>154</v>
      </c>
      <c r="N60" s="87">
        <v>92.798676999999998</v>
      </c>
      <c r="O60" s="87">
        <v>20.187750999999999</v>
      </c>
      <c r="P60" s="452"/>
      <c r="Q60" s="331"/>
      <c r="R60" s="331"/>
      <c r="S60" s="332">
        <v>0</v>
      </c>
      <c r="T60" s="452" t="s">
        <v>352</v>
      </c>
      <c r="U60" s="452" t="s">
        <v>786</v>
      </c>
      <c r="V60" s="452" t="s">
        <v>22</v>
      </c>
      <c r="W60" s="460"/>
      <c r="X60" s="452"/>
      <c r="Y60" s="452"/>
      <c r="Z60" s="452"/>
      <c r="AA60" s="452" t="str">
        <f>CONCATENATE(Camp_List[[#This Row],[Ethnicity]],"-",Camp_List[[#This Row],[Religion]])</f>
        <v>-</v>
      </c>
      <c r="AB60" s="452"/>
      <c r="AC60" s="452" t="s">
        <v>805</v>
      </c>
      <c r="AD60" s="452" t="s">
        <v>515</v>
      </c>
      <c r="AE60" s="452" t="s">
        <v>531</v>
      </c>
      <c r="AF60" s="333">
        <v>41548</v>
      </c>
      <c r="AG60" s="452"/>
      <c r="AH60" s="87">
        <f>IFERROR(VLOOKUP(Camp_List[[#This Row],[Responsible Agency]],Organization_t[],3,0),"")</f>
        <v>0</v>
      </c>
      <c r="AI60" s="355">
        <f>IF((SUMIFS(Data_Shelter_t[Coverage],Data_Shelter_t[Pcode],Camp_List[[#This Row],[P_Code]]))&gt;1,1,SUMIFS(Data_Shelter_t[Coverage],Data_Shelter_t[Pcode],Camp_List[[#This Row],[P_Code]]))</f>
        <v>0</v>
      </c>
      <c r="BL60" s="21"/>
      <c r="BM60" s="21"/>
      <c r="BO60" s="81"/>
      <c r="BP60" s="81"/>
    </row>
    <row r="61" spans="1:68" hidden="1" x14ac:dyDescent="0.25">
      <c r="A61" s="452" t="s">
        <v>359</v>
      </c>
      <c r="B61" s="452" t="s">
        <v>7</v>
      </c>
      <c r="C61" s="452" t="s">
        <v>361</v>
      </c>
      <c r="D61" s="452" t="s">
        <v>19</v>
      </c>
      <c r="E61" s="452" t="s">
        <v>623</v>
      </c>
      <c r="F61" s="452" t="s">
        <v>19</v>
      </c>
      <c r="G61" s="452" t="s">
        <v>423</v>
      </c>
      <c r="H61" s="452" t="s">
        <v>429</v>
      </c>
      <c r="I61" s="452" t="s">
        <v>428</v>
      </c>
      <c r="J61" s="452" t="s">
        <v>506</v>
      </c>
      <c r="K61" s="452">
        <v>196192</v>
      </c>
      <c r="L61" s="452" t="s">
        <v>247</v>
      </c>
      <c r="M61" s="452" t="s">
        <v>282</v>
      </c>
      <c r="N61" s="87">
        <v>92.800693999999993</v>
      </c>
      <c r="O61" s="87">
        <v>20.190055999999998</v>
      </c>
      <c r="P61" s="452"/>
      <c r="Q61" s="331"/>
      <c r="R61" s="331"/>
      <c r="S61" s="332">
        <v>0</v>
      </c>
      <c r="T61" s="452" t="s">
        <v>352</v>
      </c>
      <c r="U61" s="452" t="s">
        <v>786</v>
      </c>
      <c r="V61" s="452" t="s">
        <v>22</v>
      </c>
      <c r="W61" s="460"/>
      <c r="X61" s="452"/>
      <c r="Y61" s="452"/>
      <c r="Z61" s="452"/>
      <c r="AA61" s="452" t="str">
        <f>CONCATENATE(Camp_List[[#This Row],[Ethnicity]],"-",Camp_List[[#This Row],[Religion]])</f>
        <v>-</v>
      </c>
      <c r="AB61" s="452"/>
      <c r="AC61" s="452" t="s">
        <v>805</v>
      </c>
      <c r="AD61" s="452" t="s">
        <v>515</v>
      </c>
      <c r="AE61" s="452" t="s">
        <v>531</v>
      </c>
      <c r="AF61" s="333">
        <v>41548</v>
      </c>
      <c r="AG61" s="452"/>
      <c r="AH61" s="87">
        <f>IFERROR(VLOOKUP(Camp_List[[#This Row],[Responsible Agency]],Organization_t[],3,0),"")</f>
        <v>0</v>
      </c>
      <c r="AI61" s="355">
        <f>IF((SUMIFS(Data_Shelter_t[Coverage],Data_Shelter_t[Pcode],Camp_List[[#This Row],[P_Code]]))&gt;1,1,SUMIFS(Data_Shelter_t[Coverage],Data_Shelter_t[Pcode],Camp_List[[#This Row],[P_Code]]))</f>
        <v>0</v>
      </c>
      <c r="BL61" s="21"/>
      <c r="BM61" s="21"/>
      <c r="BO61" s="81"/>
      <c r="BP61" s="81"/>
    </row>
    <row r="62" spans="1:68" hidden="1" x14ac:dyDescent="0.25">
      <c r="A62" s="452" t="s">
        <v>359</v>
      </c>
      <c r="B62" s="452" t="s">
        <v>7</v>
      </c>
      <c r="C62" s="452" t="s">
        <v>361</v>
      </c>
      <c r="D62" s="452" t="s">
        <v>19</v>
      </c>
      <c r="E62" s="452" t="s">
        <v>623</v>
      </c>
      <c r="F62" s="452" t="s">
        <v>19</v>
      </c>
      <c r="G62" s="452" t="s">
        <v>423</v>
      </c>
      <c r="H62" s="452" t="s">
        <v>429</v>
      </c>
      <c r="I62" s="452" t="s">
        <v>428</v>
      </c>
      <c r="J62" s="452" t="s">
        <v>506</v>
      </c>
      <c r="K62" s="452">
        <v>196192</v>
      </c>
      <c r="L62" s="452" t="s">
        <v>278</v>
      </c>
      <c r="M62" s="452" t="s">
        <v>562</v>
      </c>
      <c r="N62" s="87">
        <v>92.800528</v>
      </c>
      <c r="O62" s="87">
        <v>20.185583000000001</v>
      </c>
      <c r="P62" s="452"/>
      <c r="Q62" s="331"/>
      <c r="R62" s="331"/>
      <c r="S62" s="332">
        <v>0</v>
      </c>
      <c r="T62" s="452" t="s">
        <v>352</v>
      </c>
      <c r="U62" s="452" t="s">
        <v>786</v>
      </c>
      <c r="V62" s="452" t="s">
        <v>22</v>
      </c>
      <c r="W62" s="460"/>
      <c r="X62" s="452"/>
      <c r="Y62" s="452"/>
      <c r="Z62" s="452"/>
      <c r="AA62" s="452" t="str">
        <f>CONCATENATE(Camp_List[[#This Row],[Ethnicity]],"-",Camp_List[[#This Row],[Religion]])</f>
        <v>-</v>
      </c>
      <c r="AB62" s="452"/>
      <c r="AC62" s="452" t="s">
        <v>805</v>
      </c>
      <c r="AD62" s="452" t="s">
        <v>515</v>
      </c>
      <c r="AE62" s="452" t="s">
        <v>531</v>
      </c>
      <c r="AF62" s="333">
        <v>41548</v>
      </c>
      <c r="AG62" s="452" t="s">
        <v>563</v>
      </c>
      <c r="AH62" s="87">
        <f>IFERROR(VLOOKUP(Camp_List[[#This Row],[Responsible Agency]],Organization_t[],3,0),"")</f>
        <v>0</v>
      </c>
      <c r="AI62" s="355">
        <f>IF((SUMIFS(Data_Shelter_t[Coverage],Data_Shelter_t[Pcode],Camp_List[[#This Row],[P_Code]]))&gt;1,1,SUMIFS(Data_Shelter_t[Coverage],Data_Shelter_t[Pcode],Camp_List[[#This Row],[P_Code]]))</f>
        <v>0</v>
      </c>
      <c r="BL62" s="21"/>
      <c r="BM62" s="21"/>
      <c r="BO62" s="81"/>
      <c r="BP62" s="81"/>
    </row>
    <row r="63" spans="1:68" hidden="1" x14ac:dyDescent="0.25">
      <c r="A63" s="452" t="s">
        <v>359</v>
      </c>
      <c r="B63" s="452" t="s">
        <v>7</v>
      </c>
      <c r="C63" s="452" t="s">
        <v>361</v>
      </c>
      <c r="D63" s="452" t="s">
        <v>19</v>
      </c>
      <c r="E63" s="452" t="s">
        <v>623</v>
      </c>
      <c r="F63" s="452" t="s">
        <v>19</v>
      </c>
      <c r="G63" s="452" t="s">
        <v>423</v>
      </c>
      <c r="H63" s="452" t="s">
        <v>429</v>
      </c>
      <c r="I63" s="452" t="s">
        <v>428</v>
      </c>
      <c r="J63" s="452" t="s">
        <v>506</v>
      </c>
      <c r="K63" s="452">
        <v>196192</v>
      </c>
      <c r="L63" s="452" t="s">
        <v>279</v>
      </c>
      <c r="M63" s="452" t="s">
        <v>564</v>
      </c>
      <c r="N63" s="87">
        <v>92.799861000000007</v>
      </c>
      <c r="O63" s="87">
        <v>20.185193999999999</v>
      </c>
      <c r="P63" s="452"/>
      <c r="Q63" s="331"/>
      <c r="R63" s="331"/>
      <c r="S63" s="332">
        <v>0</v>
      </c>
      <c r="T63" s="452" t="s">
        <v>352</v>
      </c>
      <c r="U63" s="452" t="s">
        <v>786</v>
      </c>
      <c r="V63" s="452" t="s">
        <v>22</v>
      </c>
      <c r="W63" s="460"/>
      <c r="X63" s="452"/>
      <c r="Y63" s="452"/>
      <c r="Z63" s="452"/>
      <c r="AA63" s="452" t="str">
        <f>CONCATENATE(Camp_List[[#This Row],[Ethnicity]],"-",Camp_List[[#This Row],[Religion]])</f>
        <v>-</v>
      </c>
      <c r="AB63" s="452"/>
      <c r="AC63" s="452" t="s">
        <v>805</v>
      </c>
      <c r="AD63" s="452" t="s">
        <v>515</v>
      </c>
      <c r="AE63" s="452" t="s">
        <v>531</v>
      </c>
      <c r="AF63" s="333">
        <v>41548</v>
      </c>
      <c r="AG63" s="452"/>
      <c r="AH63" s="87">
        <f>IFERROR(VLOOKUP(Camp_List[[#This Row],[Responsible Agency]],Organization_t[],3,0),"")</f>
        <v>0</v>
      </c>
      <c r="AI63" s="355">
        <f>IF((SUMIFS(Data_Shelter_t[Coverage],Data_Shelter_t[Pcode],Camp_List[[#This Row],[P_Code]]))&gt;1,1,SUMIFS(Data_Shelter_t[Coverage],Data_Shelter_t[Pcode],Camp_List[[#This Row],[P_Code]]))</f>
        <v>0</v>
      </c>
      <c r="BL63" s="21"/>
      <c r="BM63" s="21"/>
      <c r="BO63" s="81"/>
      <c r="BP63" s="81"/>
    </row>
    <row r="64" spans="1:68" hidden="1" x14ac:dyDescent="0.25">
      <c r="A64" s="452" t="s">
        <v>359</v>
      </c>
      <c r="B64" s="452" t="s">
        <v>7</v>
      </c>
      <c r="C64" s="452" t="s">
        <v>361</v>
      </c>
      <c r="D64" s="452" t="s">
        <v>19</v>
      </c>
      <c r="E64" s="452" t="s">
        <v>623</v>
      </c>
      <c r="F64" s="452" t="s">
        <v>19</v>
      </c>
      <c r="G64" s="452" t="s">
        <v>423</v>
      </c>
      <c r="H64" s="452" t="s">
        <v>431</v>
      </c>
      <c r="I64" s="452" t="s">
        <v>430</v>
      </c>
      <c r="J64" s="452" t="s">
        <v>510</v>
      </c>
      <c r="K64" s="452">
        <v>196157</v>
      </c>
      <c r="L64" s="452" t="s">
        <v>66</v>
      </c>
      <c r="M64" s="452" t="s">
        <v>155</v>
      </c>
      <c r="N64" s="87">
        <v>92.788177000000005</v>
      </c>
      <c r="O64" s="87">
        <v>20.207284999999999</v>
      </c>
      <c r="P64" s="452"/>
      <c r="Q64" s="331"/>
      <c r="R64" s="331"/>
      <c r="S64" s="332">
        <v>0</v>
      </c>
      <c r="T64" s="452" t="s">
        <v>352</v>
      </c>
      <c r="U64" s="452" t="s">
        <v>786</v>
      </c>
      <c r="V64" s="452" t="s">
        <v>22</v>
      </c>
      <c r="W64" s="460"/>
      <c r="X64" s="452"/>
      <c r="Y64" s="452"/>
      <c r="Z64" s="452"/>
      <c r="AA64" s="452" t="str">
        <f>CONCATENATE(Camp_List[[#This Row],[Ethnicity]],"-",Camp_List[[#This Row],[Religion]])</f>
        <v>-</v>
      </c>
      <c r="AB64" s="452"/>
      <c r="AC64" s="452" t="s">
        <v>805</v>
      </c>
      <c r="AD64" s="452" t="s">
        <v>515</v>
      </c>
      <c r="AE64" s="452" t="s">
        <v>531</v>
      </c>
      <c r="AF64" s="333">
        <v>41548</v>
      </c>
      <c r="AG64" s="452"/>
      <c r="AH64" s="87">
        <f>IFERROR(VLOOKUP(Camp_List[[#This Row],[Responsible Agency]],Organization_t[],3,0),"")</f>
        <v>0</v>
      </c>
      <c r="AI64" s="355">
        <f>IF((SUMIFS(Data_Shelter_t[Coverage],Data_Shelter_t[Pcode],Camp_List[[#This Row],[P_Code]]))&gt;1,1,SUMIFS(Data_Shelter_t[Coverage],Data_Shelter_t[Pcode],Camp_List[[#This Row],[P_Code]]))</f>
        <v>0</v>
      </c>
      <c r="BL64" s="21"/>
      <c r="BM64" s="21"/>
      <c r="BO64" s="81"/>
      <c r="BP64" s="81"/>
    </row>
    <row r="65" spans="1:68" x14ac:dyDescent="0.25">
      <c r="A65" s="452" t="s">
        <v>358</v>
      </c>
      <c r="B65" s="452" t="s">
        <v>7</v>
      </c>
      <c r="C65" s="452" t="s">
        <v>361</v>
      </c>
      <c r="D65" s="452" t="s">
        <v>19</v>
      </c>
      <c r="E65" s="452" t="s">
        <v>623</v>
      </c>
      <c r="F65" s="452" t="s">
        <v>11</v>
      </c>
      <c r="G65" s="452" t="s">
        <v>362</v>
      </c>
      <c r="H65" s="452" t="s">
        <v>372</v>
      </c>
      <c r="I65" s="452" t="s">
        <v>371</v>
      </c>
      <c r="J65" s="452" t="s">
        <v>30</v>
      </c>
      <c r="K65" s="452">
        <v>197150</v>
      </c>
      <c r="L65" s="452" t="s">
        <v>30</v>
      </c>
      <c r="M65" s="452" t="s">
        <v>117</v>
      </c>
      <c r="N65" s="87">
        <v>93.299485000000004</v>
      </c>
      <c r="O65" s="87">
        <v>20.480898</v>
      </c>
      <c r="P65" s="452"/>
      <c r="Q65" s="331">
        <v>86</v>
      </c>
      <c r="R65" s="331">
        <v>444</v>
      </c>
      <c r="S65" s="332">
        <v>5.7674418604651159</v>
      </c>
      <c r="T65" s="452" t="s">
        <v>352</v>
      </c>
      <c r="U65" s="452" t="s">
        <v>786</v>
      </c>
      <c r="V65" s="452" t="s">
        <v>854</v>
      </c>
      <c r="W65" s="460" t="s">
        <v>909</v>
      </c>
      <c r="X65" s="452"/>
      <c r="Y65" s="452" t="s">
        <v>805</v>
      </c>
      <c r="Z65" s="452" t="s">
        <v>680</v>
      </c>
      <c r="AA65" s="452" t="str">
        <f>CONCATENATE(Camp_List[[#This Row],[Ethnicity]],"-",Camp_List[[#This Row],[Religion]])</f>
        <v xml:space="preserve"> -Muslim</v>
      </c>
      <c r="AB65" s="452" t="s">
        <v>688</v>
      </c>
      <c r="AC65" s="452" t="s">
        <v>288</v>
      </c>
      <c r="AD65" s="452" t="s">
        <v>515</v>
      </c>
      <c r="AE65" s="452" t="s">
        <v>976</v>
      </c>
      <c r="AF65" s="333">
        <v>42156</v>
      </c>
      <c r="AG65" s="452"/>
      <c r="AH65" s="87" t="str">
        <f>IFERROR(VLOOKUP(Camp_List[[#This Row],[Responsible Agency]],Organization_t[],3,0),"")</f>
        <v>Richard Warren</v>
      </c>
      <c r="AI65" s="355">
        <f ca="1">IF((SUMIFS(Data_Shelter_t[Coverage],Data_Shelter_t[Pcode],Camp_List[[#This Row],[P_Code]]))&gt;1,1,SUMIFS(Data_Shelter_t[Coverage],Data_Shelter_t[Pcode],Camp_List[[#This Row],[P_Code]]))</f>
        <v>1</v>
      </c>
      <c r="BL65" s="21"/>
      <c r="BM65" s="21"/>
      <c r="BO65" s="81"/>
      <c r="BP65" s="81"/>
    </row>
    <row r="66" spans="1:68" x14ac:dyDescent="0.25">
      <c r="A66" s="452" t="s">
        <v>358</v>
      </c>
      <c r="B66" s="452" t="s">
        <v>7</v>
      </c>
      <c r="C66" s="452" t="s">
        <v>361</v>
      </c>
      <c r="D66" s="452" t="s">
        <v>19</v>
      </c>
      <c r="E66" s="452" t="s">
        <v>623</v>
      </c>
      <c r="F66" s="452" t="s">
        <v>11</v>
      </c>
      <c r="G66" s="452" t="s">
        <v>362</v>
      </c>
      <c r="H66" s="452" t="s">
        <v>368</v>
      </c>
      <c r="I66" s="452" t="s">
        <v>367</v>
      </c>
      <c r="J66" s="452" t="s">
        <v>368</v>
      </c>
      <c r="K66" s="452">
        <v>196984</v>
      </c>
      <c r="L66" s="452" t="s">
        <v>25</v>
      </c>
      <c r="M66" s="452" t="s">
        <v>112</v>
      </c>
      <c r="N66" s="87">
        <v>93.271642</v>
      </c>
      <c r="O66" s="87">
        <v>20.377523</v>
      </c>
      <c r="P66" s="452"/>
      <c r="Q66" s="331">
        <v>19</v>
      </c>
      <c r="R66" s="331">
        <v>142</v>
      </c>
      <c r="S66" s="332">
        <v>7.4736842105263159</v>
      </c>
      <c r="T66" s="452" t="s">
        <v>352</v>
      </c>
      <c r="U66" s="452" t="s">
        <v>786</v>
      </c>
      <c r="V66" s="452" t="s">
        <v>854</v>
      </c>
      <c r="W66" s="460" t="s">
        <v>909</v>
      </c>
      <c r="X66" s="452"/>
      <c r="Y66" s="452" t="s">
        <v>805</v>
      </c>
      <c r="Z66" s="452" t="s">
        <v>680</v>
      </c>
      <c r="AA66" s="452" t="str">
        <f>CONCATENATE(Camp_List[[#This Row],[Ethnicity]],"-",Camp_List[[#This Row],[Religion]])</f>
        <v xml:space="preserve"> -Muslim</v>
      </c>
      <c r="AB66" s="452" t="s">
        <v>688</v>
      </c>
      <c r="AC66" s="452" t="s">
        <v>288</v>
      </c>
      <c r="AD66" s="452" t="s">
        <v>515</v>
      </c>
      <c r="AE66" s="452" t="s">
        <v>531</v>
      </c>
      <c r="AF66" s="333">
        <v>42097</v>
      </c>
      <c r="AG66" s="452"/>
      <c r="AH66" s="87" t="str">
        <f>IFERROR(VLOOKUP(Camp_List[[#This Row],[Responsible Agency]],Organization_t[],3,0),"")</f>
        <v>Richard Warren</v>
      </c>
      <c r="AI66" s="355">
        <f ca="1">IF((SUMIFS(Data_Shelter_t[Coverage],Data_Shelter_t[Pcode],Camp_List[[#This Row],[P_Code]]))&gt;1,1,SUMIFS(Data_Shelter_t[Coverage],Data_Shelter_t[Pcode],Camp_List[[#This Row],[P_Code]]))</f>
        <v>1</v>
      </c>
      <c r="BL66" s="21"/>
      <c r="BM66" s="21"/>
      <c r="BO66" s="81"/>
      <c r="BP66" s="81"/>
    </row>
    <row r="67" spans="1:68" x14ac:dyDescent="0.25">
      <c r="A67" s="452" t="s">
        <v>358</v>
      </c>
      <c r="B67" s="452" t="s">
        <v>7</v>
      </c>
      <c r="C67" s="452" t="s">
        <v>361</v>
      </c>
      <c r="D67" s="452" t="s">
        <v>19</v>
      </c>
      <c r="E67" s="452" t="s">
        <v>623</v>
      </c>
      <c r="F67" s="452" t="s">
        <v>11</v>
      </c>
      <c r="G67" s="452" t="s">
        <v>362</v>
      </c>
      <c r="H67" s="452" t="s">
        <v>366</v>
      </c>
      <c r="I67" s="452" t="s">
        <v>365</v>
      </c>
      <c r="J67" s="452" t="s">
        <v>494</v>
      </c>
      <c r="K67" s="452">
        <v>197025</v>
      </c>
      <c r="L67" s="452" t="s">
        <v>32</v>
      </c>
      <c r="M67" s="452" t="s">
        <v>119</v>
      </c>
      <c r="N67" s="87">
        <v>93.313627999999994</v>
      </c>
      <c r="O67" s="87">
        <v>20.407971</v>
      </c>
      <c r="P67" s="452"/>
      <c r="Q67" s="331">
        <v>225</v>
      </c>
      <c r="R67" s="331">
        <v>1377</v>
      </c>
      <c r="S67" s="332">
        <v>5.8577777777777778</v>
      </c>
      <c r="T67" s="452" t="s">
        <v>352</v>
      </c>
      <c r="U67" s="452" t="s">
        <v>786</v>
      </c>
      <c r="V67" s="452" t="s">
        <v>854</v>
      </c>
      <c r="W67" s="460" t="s">
        <v>909</v>
      </c>
      <c r="X67" s="452"/>
      <c r="Y67" s="452" t="s">
        <v>805</v>
      </c>
      <c r="Z67" s="452" t="s">
        <v>680</v>
      </c>
      <c r="AA67" s="452" t="str">
        <f>CONCATENATE(Camp_List[[#This Row],[Ethnicity]],"-",Camp_List[[#This Row],[Religion]])</f>
        <v xml:space="preserve"> -Muslim</v>
      </c>
      <c r="AB67" s="452" t="s">
        <v>688</v>
      </c>
      <c r="AC67" s="452" t="s">
        <v>288</v>
      </c>
      <c r="AD67" s="452" t="s">
        <v>515</v>
      </c>
      <c r="AE67" s="452" t="s">
        <v>976</v>
      </c>
      <c r="AF67" s="333">
        <v>42156</v>
      </c>
      <c r="AG67" s="452"/>
      <c r="AH67" s="87" t="str">
        <f>IFERROR(VLOOKUP(Camp_List[[#This Row],[Responsible Agency]],Organization_t[],3,0),"")</f>
        <v>Richard Warren</v>
      </c>
      <c r="AI67" s="355">
        <f ca="1">IF((SUMIFS(Data_Shelter_t[Coverage],Data_Shelter_t[Pcode],Camp_List[[#This Row],[P_Code]]))&gt;1,1,SUMIFS(Data_Shelter_t[Coverage],Data_Shelter_t[Pcode],Camp_List[[#This Row],[P_Code]]))</f>
        <v>1</v>
      </c>
      <c r="BL67" s="21"/>
      <c r="BM67" s="21"/>
      <c r="BO67" s="81"/>
      <c r="BP67" s="81"/>
    </row>
    <row r="68" spans="1:68" x14ac:dyDescent="0.25">
      <c r="A68" s="452" t="s">
        <v>358</v>
      </c>
      <c r="B68" s="452" t="s">
        <v>7</v>
      </c>
      <c r="C68" s="452" t="s">
        <v>361</v>
      </c>
      <c r="D68" s="452" t="s">
        <v>19</v>
      </c>
      <c r="E68" s="452" t="s">
        <v>623</v>
      </c>
      <c r="F68" s="452" t="s">
        <v>11</v>
      </c>
      <c r="G68" s="452" t="s">
        <v>362</v>
      </c>
      <c r="H68" s="452" t="s">
        <v>370</v>
      </c>
      <c r="I68" s="452" t="s">
        <v>369</v>
      </c>
      <c r="J68" s="452" t="s">
        <v>27</v>
      </c>
      <c r="K68" s="452">
        <v>196995</v>
      </c>
      <c r="L68" s="452" t="s">
        <v>27</v>
      </c>
      <c r="M68" s="452" t="s">
        <v>114</v>
      </c>
      <c r="N68" s="87">
        <v>93.249669999999995</v>
      </c>
      <c r="O68" s="87">
        <v>20.39902</v>
      </c>
      <c r="P68" s="452"/>
      <c r="Q68" s="331">
        <v>86</v>
      </c>
      <c r="R68" s="331">
        <v>476</v>
      </c>
      <c r="S68" s="332">
        <v>6.058139534883721</v>
      </c>
      <c r="T68" s="452" t="s">
        <v>352</v>
      </c>
      <c r="U68" s="452" t="s">
        <v>786</v>
      </c>
      <c r="V68" s="452" t="s">
        <v>854</v>
      </c>
      <c r="W68" s="460" t="s">
        <v>909</v>
      </c>
      <c r="X68" s="452"/>
      <c r="Y68" s="452" t="s">
        <v>805</v>
      </c>
      <c r="Z68" s="452" t="s">
        <v>680</v>
      </c>
      <c r="AA68" s="452" t="str">
        <f>CONCATENATE(Camp_List[[#This Row],[Ethnicity]],"-",Camp_List[[#This Row],[Religion]])</f>
        <v xml:space="preserve"> -Muslim</v>
      </c>
      <c r="AB68" s="452" t="s">
        <v>688</v>
      </c>
      <c r="AC68" s="452" t="s">
        <v>288</v>
      </c>
      <c r="AD68" s="452" t="s">
        <v>515</v>
      </c>
      <c r="AE68" s="452" t="s">
        <v>976</v>
      </c>
      <c r="AF68" s="333">
        <v>42156</v>
      </c>
      <c r="AG68" s="452"/>
      <c r="AH68" s="87" t="str">
        <f>IFERROR(VLOOKUP(Camp_List[[#This Row],[Responsible Agency]],Organization_t[],3,0),"")</f>
        <v>Richard Warren</v>
      </c>
      <c r="AI68" s="355">
        <f ca="1">IF((SUMIFS(Data_Shelter_t[Coverage],Data_Shelter_t[Pcode],Camp_List[[#This Row],[P_Code]]))&gt;1,1,SUMIFS(Data_Shelter_t[Coverage],Data_Shelter_t[Pcode],Camp_List[[#This Row],[P_Code]]))</f>
        <v>1</v>
      </c>
      <c r="BL68" s="21"/>
      <c r="BM68" s="21"/>
      <c r="BO68" s="81"/>
      <c r="BP68" s="81"/>
    </row>
    <row r="69" spans="1:68" x14ac:dyDescent="0.25">
      <c r="A69" s="452" t="s">
        <v>358</v>
      </c>
      <c r="B69" s="452" t="s">
        <v>7</v>
      </c>
      <c r="C69" s="452" t="s">
        <v>361</v>
      </c>
      <c r="D69" s="452" t="s">
        <v>19</v>
      </c>
      <c r="E69" s="452" t="s">
        <v>623</v>
      </c>
      <c r="F69" s="452" t="s">
        <v>11</v>
      </c>
      <c r="G69" s="452" t="s">
        <v>362</v>
      </c>
      <c r="H69" s="452" t="s">
        <v>571</v>
      </c>
      <c r="I69" s="452" t="s">
        <v>572</v>
      </c>
      <c r="J69" s="452" t="s">
        <v>573</v>
      </c>
      <c r="K69" s="452">
        <v>197023</v>
      </c>
      <c r="L69" s="452" t="s">
        <v>574</v>
      </c>
      <c r="M69" s="452" t="s">
        <v>575</v>
      </c>
      <c r="N69" s="87">
        <v>93.314695</v>
      </c>
      <c r="O69" s="87">
        <v>20.409645000000001</v>
      </c>
      <c r="P69" s="452"/>
      <c r="Q69" s="331">
        <v>17</v>
      </c>
      <c r="R69" s="331">
        <v>72</v>
      </c>
      <c r="S69" s="332">
        <v>4</v>
      </c>
      <c r="T69" s="452" t="s">
        <v>352</v>
      </c>
      <c r="U69" s="452" t="s">
        <v>786</v>
      </c>
      <c r="V69" s="452" t="s">
        <v>23</v>
      </c>
      <c r="W69" s="460" t="s">
        <v>910</v>
      </c>
      <c r="X69" s="452"/>
      <c r="Y69" s="458" t="s">
        <v>7</v>
      </c>
      <c r="Z69" s="458" t="s">
        <v>789</v>
      </c>
      <c r="AA69" s="458" t="str">
        <f>CONCATENATE(Camp_List[[#This Row],[Ethnicity]],"-",Camp_List[[#This Row],[Religion]])</f>
        <v>Rakhine-Buddhist</v>
      </c>
      <c r="AB69" s="452" t="s">
        <v>688</v>
      </c>
      <c r="AC69" s="452" t="s">
        <v>288</v>
      </c>
      <c r="AD69" s="452" t="s">
        <v>515</v>
      </c>
      <c r="AE69" s="452" t="s">
        <v>531</v>
      </c>
      <c r="AF69" s="333">
        <v>42097</v>
      </c>
      <c r="AG69" s="452"/>
      <c r="AH69" s="87" t="str">
        <f>IFERROR(VLOOKUP(Camp_List[[#This Row],[Responsible Agency]],Organization_t[],3,0),"")</f>
        <v>Richard Warren</v>
      </c>
      <c r="AI69" s="355">
        <f ca="1">IF((SUMIFS(Data_Shelter_t[Coverage],Data_Shelter_t[Pcode],Camp_List[[#This Row],[P_Code]]))&gt;1,1,SUMIFS(Data_Shelter_t[Coverage],Data_Shelter_t[Pcode],Camp_List[[#This Row],[P_Code]]))</f>
        <v>1</v>
      </c>
      <c r="BL69" s="21"/>
      <c r="BM69" s="21"/>
      <c r="BO69" s="81"/>
      <c r="BP69" s="81"/>
    </row>
    <row r="70" spans="1:68" x14ac:dyDescent="0.25">
      <c r="A70" s="452" t="s">
        <v>358</v>
      </c>
      <c r="B70" s="452" t="s">
        <v>7</v>
      </c>
      <c r="C70" s="452" t="s">
        <v>361</v>
      </c>
      <c r="D70" s="452" t="s">
        <v>19</v>
      </c>
      <c r="E70" s="452" t="s">
        <v>623</v>
      </c>
      <c r="F70" s="452" t="s">
        <v>11</v>
      </c>
      <c r="G70" s="452" t="s">
        <v>362</v>
      </c>
      <c r="H70" s="452" t="s">
        <v>368</v>
      </c>
      <c r="I70" s="452" t="s">
        <v>367</v>
      </c>
      <c r="J70" s="452" t="s">
        <v>495</v>
      </c>
      <c r="K70" s="452">
        <v>196997</v>
      </c>
      <c r="L70" s="452" t="s">
        <v>26</v>
      </c>
      <c r="M70" s="452" t="s">
        <v>113</v>
      </c>
      <c r="N70" s="87">
        <v>93.257272</v>
      </c>
      <c r="O70" s="87">
        <v>20.392137999999999</v>
      </c>
      <c r="P70" s="452"/>
      <c r="Q70" s="331">
        <v>203</v>
      </c>
      <c r="R70" s="331">
        <v>1420</v>
      </c>
      <c r="S70" s="332">
        <v>5.3529411764705879</v>
      </c>
      <c r="T70" s="452" t="s">
        <v>352</v>
      </c>
      <c r="U70" s="452" t="s">
        <v>786</v>
      </c>
      <c r="V70" s="452" t="s">
        <v>854</v>
      </c>
      <c r="W70" s="460" t="s">
        <v>909</v>
      </c>
      <c r="X70" s="452"/>
      <c r="Y70" s="452" t="s">
        <v>805</v>
      </c>
      <c r="Z70" s="452" t="s">
        <v>680</v>
      </c>
      <c r="AA70" s="452" t="str">
        <f>CONCATENATE(Camp_List[[#This Row],[Ethnicity]],"-",Camp_List[[#This Row],[Religion]])</f>
        <v xml:space="preserve"> -Muslim</v>
      </c>
      <c r="AB70" s="452" t="s">
        <v>688</v>
      </c>
      <c r="AC70" s="452" t="s">
        <v>288</v>
      </c>
      <c r="AD70" s="452" t="s">
        <v>515</v>
      </c>
      <c r="AE70" s="452" t="s">
        <v>976</v>
      </c>
      <c r="AF70" s="333">
        <v>42156</v>
      </c>
      <c r="AG70" s="452"/>
      <c r="AH70" s="87" t="str">
        <f>IFERROR(VLOOKUP(Camp_List[[#This Row],[Responsible Agency]],Organization_t[],3,0),"")</f>
        <v>Richard Warren</v>
      </c>
      <c r="AI70" s="355">
        <f ca="1">IF((SUMIFS(Data_Shelter_t[Coverage],Data_Shelter_t[Pcode],Camp_List[[#This Row],[P_Code]]))&gt;1,1,SUMIFS(Data_Shelter_t[Coverage],Data_Shelter_t[Pcode],Camp_List[[#This Row],[P_Code]]))</f>
        <v>1</v>
      </c>
      <c r="BL70" s="21"/>
      <c r="BM70" s="21"/>
      <c r="BO70" s="81"/>
      <c r="BP70" s="81"/>
    </row>
    <row r="71" spans="1:68" x14ac:dyDescent="0.25">
      <c r="A71" s="452" t="s">
        <v>358</v>
      </c>
      <c r="B71" s="452" t="s">
        <v>7</v>
      </c>
      <c r="C71" s="452" t="s">
        <v>361</v>
      </c>
      <c r="D71" s="452" t="s">
        <v>19</v>
      </c>
      <c r="E71" s="452" t="s">
        <v>623</v>
      </c>
      <c r="F71" s="452" t="s">
        <v>11</v>
      </c>
      <c r="G71" s="452" t="s">
        <v>362</v>
      </c>
      <c r="H71" s="452" t="s">
        <v>364</v>
      </c>
      <c r="I71" s="454" t="s">
        <v>363</v>
      </c>
      <c r="J71" s="452" t="s">
        <v>364</v>
      </c>
      <c r="K71" s="457">
        <v>197062</v>
      </c>
      <c r="L71" s="452" t="s">
        <v>29</v>
      </c>
      <c r="M71" s="452" t="s">
        <v>116</v>
      </c>
      <c r="N71" s="87">
        <v>93.258573999999996</v>
      </c>
      <c r="O71" s="87">
        <v>20.587142</v>
      </c>
      <c r="P71" s="452"/>
      <c r="Q71" s="331">
        <v>275</v>
      </c>
      <c r="R71" s="331">
        <v>1707</v>
      </c>
      <c r="S71" s="332">
        <v>5.9527272727272731</v>
      </c>
      <c r="T71" s="452" t="s">
        <v>352</v>
      </c>
      <c r="U71" s="452" t="s">
        <v>786</v>
      </c>
      <c r="V71" s="452" t="s">
        <v>854</v>
      </c>
      <c r="W71" s="460" t="s">
        <v>909</v>
      </c>
      <c r="X71" s="452"/>
      <c r="Y71" s="452" t="s">
        <v>805</v>
      </c>
      <c r="Z71" s="452" t="s">
        <v>680</v>
      </c>
      <c r="AA71" s="452" t="str">
        <f>CONCATENATE(Camp_List[[#This Row],[Ethnicity]],"-",Camp_List[[#This Row],[Religion]])</f>
        <v xml:space="preserve"> -Muslim</v>
      </c>
      <c r="AB71" s="452" t="s">
        <v>688</v>
      </c>
      <c r="AC71" s="452" t="s">
        <v>288</v>
      </c>
      <c r="AD71" s="452" t="s">
        <v>515</v>
      </c>
      <c r="AE71" s="452" t="s">
        <v>976</v>
      </c>
      <c r="AF71" s="333">
        <v>42156</v>
      </c>
      <c r="AG71" s="452"/>
      <c r="AH71" s="87" t="str">
        <f>IFERROR(VLOOKUP(Camp_List[[#This Row],[Responsible Agency]],Organization_t[],3,0),"")</f>
        <v>Richard Warren</v>
      </c>
      <c r="AI71" s="355">
        <f ca="1">IF((SUMIFS(Data_Shelter_t[Coverage],Data_Shelter_t[Pcode],Camp_List[[#This Row],[P_Code]]))&gt;1,1,SUMIFS(Data_Shelter_t[Coverage],Data_Shelter_t[Pcode],Camp_List[[#This Row],[P_Code]]))</f>
        <v>1</v>
      </c>
      <c r="BL71" s="21"/>
      <c r="BM71" s="21"/>
      <c r="BO71" s="81"/>
      <c r="BP71" s="81"/>
    </row>
    <row r="72" spans="1:68" x14ac:dyDescent="0.25">
      <c r="A72" s="452" t="s">
        <v>358</v>
      </c>
      <c r="B72" s="452" t="s">
        <v>7</v>
      </c>
      <c r="C72" s="452" t="s">
        <v>361</v>
      </c>
      <c r="D72" s="452" t="s">
        <v>19</v>
      </c>
      <c r="E72" s="452" t="s">
        <v>623</v>
      </c>
      <c r="F72" s="452" t="s">
        <v>12</v>
      </c>
      <c r="G72" s="452" t="s">
        <v>375</v>
      </c>
      <c r="H72" s="452" t="s">
        <v>378</v>
      </c>
      <c r="I72" s="452" t="s">
        <v>379</v>
      </c>
      <c r="J72" s="456" t="s">
        <v>378</v>
      </c>
      <c r="K72" s="452">
        <v>196428</v>
      </c>
      <c r="L72" s="452" t="s">
        <v>33</v>
      </c>
      <c r="M72" s="452" t="s">
        <v>120</v>
      </c>
      <c r="N72" s="87">
        <v>93.245551000000006</v>
      </c>
      <c r="O72" s="87">
        <v>20.576577</v>
      </c>
      <c r="P72" s="452"/>
      <c r="Q72" s="331">
        <v>204</v>
      </c>
      <c r="R72" s="331">
        <v>1265</v>
      </c>
      <c r="S72" s="332">
        <v>5.5245098039215685</v>
      </c>
      <c r="T72" s="452" t="s">
        <v>352</v>
      </c>
      <c r="U72" s="452" t="s">
        <v>786</v>
      </c>
      <c r="V72" s="452" t="s">
        <v>854</v>
      </c>
      <c r="W72" s="460" t="s">
        <v>909</v>
      </c>
      <c r="X72" s="452"/>
      <c r="Y72" s="452" t="s">
        <v>805</v>
      </c>
      <c r="Z72" s="452" t="s">
        <v>680</v>
      </c>
      <c r="AA72" s="452" t="str">
        <f>CONCATENATE(Camp_List[[#This Row],[Ethnicity]],"-",Camp_List[[#This Row],[Religion]])</f>
        <v xml:space="preserve"> -Muslim</v>
      </c>
      <c r="AB72" s="452" t="s">
        <v>688</v>
      </c>
      <c r="AC72" s="452" t="s">
        <v>288</v>
      </c>
      <c r="AD72" s="452" t="s">
        <v>515</v>
      </c>
      <c r="AE72" s="452" t="s">
        <v>976</v>
      </c>
      <c r="AF72" s="333">
        <v>42156</v>
      </c>
      <c r="AG72" s="452"/>
      <c r="AH72" s="87" t="str">
        <f>IFERROR(VLOOKUP(Camp_List[[#This Row],[Responsible Agency]],Organization_t[],3,0),"")</f>
        <v>Richard Warren</v>
      </c>
      <c r="AI72" s="355">
        <f ca="1">IF((SUMIFS(Data_Shelter_t[Coverage],Data_Shelter_t[Pcode],Camp_List[[#This Row],[P_Code]]))&gt;1,1,SUMIFS(Data_Shelter_t[Coverage],Data_Shelter_t[Pcode],Camp_List[[#This Row],[P_Code]]))</f>
        <v>1</v>
      </c>
      <c r="BL72" s="21"/>
      <c r="BM72" s="21"/>
      <c r="BO72" s="81"/>
      <c r="BP72" s="81"/>
    </row>
    <row r="73" spans="1:68" x14ac:dyDescent="0.25">
      <c r="A73" s="452" t="s">
        <v>358</v>
      </c>
      <c r="B73" s="452" t="s">
        <v>7</v>
      </c>
      <c r="C73" s="452" t="s">
        <v>361</v>
      </c>
      <c r="D73" s="452" t="s">
        <v>19</v>
      </c>
      <c r="E73" s="452" t="s">
        <v>623</v>
      </c>
      <c r="F73" s="452" t="s">
        <v>12</v>
      </c>
      <c r="G73" s="452" t="s">
        <v>375</v>
      </c>
      <c r="H73" s="452" t="s">
        <v>381</v>
      </c>
      <c r="I73" s="452" t="s">
        <v>380</v>
      </c>
      <c r="J73" s="452" t="s">
        <v>497</v>
      </c>
      <c r="K73" s="452">
        <v>196441</v>
      </c>
      <c r="L73" s="452" t="s">
        <v>36</v>
      </c>
      <c r="M73" s="452" t="s">
        <v>123</v>
      </c>
      <c r="N73" s="87">
        <v>93.239519999999999</v>
      </c>
      <c r="O73" s="87">
        <v>20.61692</v>
      </c>
      <c r="P73" s="452"/>
      <c r="Q73" s="331">
        <v>10</v>
      </c>
      <c r="R73" s="331">
        <v>64</v>
      </c>
      <c r="S73" s="332">
        <v>6.4</v>
      </c>
      <c r="T73" s="452" t="s">
        <v>352</v>
      </c>
      <c r="U73" s="452" t="s">
        <v>786</v>
      </c>
      <c r="V73" s="452" t="s">
        <v>23</v>
      </c>
      <c r="W73" s="460" t="s">
        <v>910</v>
      </c>
      <c r="X73" s="452"/>
      <c r="Y73" s="452" t="s">
        <v>681</v>
      </c>
      <c r="Z73" s="458" t="s">
        <v>789</v>
      </c>
      <c r="AA73" s="458" t="str">
        <f>CONCATENATE(Camp_List[[#This Row],[Ethnicity]],"-",Camp_List[[#This Row],[Religion]])</f>
        <v>Maramargyi-Buddhist</v>
      </c>
      <c r="AB73" s="452" t="s">
        <v>688</v>
      </c>
      <c r="AC73" s="452" t="s">
        <v>288</v>
      </c>
      <c r="AD73" s="452" t="s">
        <v>515</v>
      </c>
      <c r="AE73" s="452" t="s">
        <v>531</v>
      </c>
      <c r="AF73" s="333">
        <v>42097</v>
      </c>
      <c r="AG73" s="452"/>
      <c r="AH73" s="87" t="str">
        <f>IFERROR(VLOOKUP(Camp_List[[#This Row],[Responsible Agency]],Organization_t[],3,0),"")</f>
        <v>Richard Warren</v>
      </c>
      <c r="AI73" s="355">
        <f ca="1">IF((SUMIFS(Data_Shelter_t[Coverage],Data_Shelter_t[Pcode],Camp_List[[#This Row],[P_Code]]))&gt;1,1,SUMIFS(Data_Shelter_t[Coverage],Data_Shelter_t[Pcode],Camp_List[[#This Row],[P_Code]]))</f>
        <v>1</v>
      </c>
      <c r="BL73" s="21"/>
      <c r="BM73" s="21"/>
      <c r="BO73" s="81"/>
      <c r="BP73" s="81"/>
    </row>
    <row r="74" spans="1:68" x14ac:dyDescent="0.25">
      <c r="A74" s="452" t="s">
        <v>358</v>
      </c>
      <c r="B74" s="452" t="s">
        <v>7</v>
      </c>
      <c r="C74" s="452" t="s">
        <v>361</v>
      </c>
      <c r="D74" s="452" t="s">
        <v>19</v>
      </c>
      <c r="E74" s="452" t="s">
        <v>623</v>
      </c>
      <c r="F74" s="452" t="s">
        <v>12</v>
      </c>
      <c r="G74" s="452" t="s">
        <v>375</v>
      </c>
      <c r="H74" s="454" t="s">
        <v>644</v>
      </c>
      <c r="I74" s="452" t="s">
        <v>645</v>
      </c>
      <c r="J74" s="452" t="s">
        <v>646</v>
      </c>
      <c r="K74" s="452">
        <v>196501</v>
      </c>
      <c r="L74" s="452" t="s">
        <v>646</v>
      </c>
      <c r="M74" s="452" t="s">
        <v>647</v>
      </c>
      <c r="N74" s="87">
        <v>93.246863000000005</v>
      </c>
      <c r="O74" s="87">
        <v>20.495086000000001</v>
      </c>
      <c r="P74" s="452"/>
      <c r="Q74" s="331">
        <v>31</v>
      </c>
      <c r="R74" s="331">
        <v>131</v>
      </c>
      <c r="S74" s="332">
        <v>4.225806451612903</v>
      </c>
      <c r="T74" s="452" t="s">
        <v>352</v>
      </c>
      <c r="U74" s="452" t="s">
        <v>786</v>
      </c>
      <c r="V74" s="452" t="s">
        <v>23</v>
      </c>
      <c r="W74" s="460" t="s">
        <v>910</v>
      </c>
      <c r="X74" s="452"/>
      <c r="Y74" s="452" t="s">
        <v>7</v>
      </c>
      <c r="Z74" s="452" t="s">
        <v>789</v>
      </c>
      <c r="AA74" s="452" t="str">
        <f>CONCATENATE(Camp_List[[#This Row],[Ethnicity]],"-",Camp_List[[#This Row],[Religion]])</f>
        <v>Rakhine-Buddhist</v>
      </c>
      <c r="AB74" s="452" t="s">
        <v>688</v>
      </c>
      <c r="AC74" s="452" t="s">
        <v>288</v>
      </c>
      <c r="AD74" s="452" t="s">
        <v>515</v>
      </c>
      <c r="AE74" s="452" t="s">
        <v>531</v>
      </c>
      <c r="AF74" s="333">
        <v>42097</v>
      </c>
      <c r="AG74" s="452" t="s">
        <v>648</v>
      </c>
      <c r="AH74" s="87" t="str">
        <f>IFERROR(VLOOKUP(Camp_List[[#This Row],[Responsible Agency]],Organization_t[],3,0),"")</f>
        <v>Richard Warren</v>
      </c>
      <c r="AI74" s="355">
        <f ca="1">IF((SUMIFS(Data_Shelter_t[Coverage],Data_Shelter_t[Pcode],Camp_List[[#This Row],[P_Code]]))&gt;1,1,SUMIFS(Data_Shelter_t[Coverage],Data_Shelter_t[Pcode],Camp_List[[#This Row],[P_Code]]))</f>
        <v>1</v>
      </c>
      <c r="BL74" s="21"/>
      <c r="BM74" s="21"/>
      <c r="BO74" s="81"/>
      <c r="BP74" s="81"/>
    </row>
    <row r="75" spans="1:68" x14ac:dyDescent="0.25">
      <c r="A75" s="452" t="s">
        <v>358</v>
      </c>
      <c r="B75" s="452" t="s">
        <v>7</v>
      </c>
      <c r="C75" s="452" t="s">
        <v>361</v>
      </c>
      <c r="D75" s="452" t="s">
        <v>19</v>
      </c>
      <c r="E75" s="452" t="s">
        <v>623</v>
      </c>
      <c r="F75" s="452" t="s">
        <v>12</v>
      </c>
      <c r="G75" s="452" t="s">
        <v>375</v>
      </c>
      <c r="H75" s="452" t="s">
        <v>377</v>
      </c>
      <c r="I75" s="452" t="s">
        <v>376</v>
      </c>
      <c r="J75" s="452" t="s">
        <v>377</v>
      </c>
      <c r="K75" s="452">
        <v>196507</v>
      </c>
      <c r="L75" s="452" t="s">
        <v>34</v>
      </c>
      <c r="M75" s="452" t="s">
        <v>121</v>
      </c>
      <c r="N75" s="87">
        <v>93.217039999999997</v>
      </c>
      <c r="O75" s="87">
        <v>20.501757999999999</v>
      </c>
      <c r="P75" s="452"/>
      <c r="Q75" s="331">
        <v>365</v>
      </c>
      <c r="R75" s="331">
        <v>2366</v>
      </c>
      <c r="S75" s="332">
        <v>6.4821917808219176</v>
      </c>
      <c r="T75" s="452" t="s">
        <v>352</v>
      </c>
      <c r="U75" s="452" t="s">
        <v>786</v>
      </c>
      <c r="V75" s="452" t="s">
        <v>854</v>
      </c>
      <c r="W75" s="460" t="s">
        <v>909</v>
      </c>
      <c r="X75" s="452"/>
      <c r="Y75" s="452" t="s">
        <v>805</v>
      </c>
      <c r="Z75" s="452" t="s">
        <v>680</v>
      </c>
      <c r="AA75" s="452" t="str">
        <f>CONCATENATE(Camp_List[[#This Row],[Ethnicity]],"-",Camp_List[[#This Row],[Religion]])</f>
        <v xml:space="preserve"> -Muslim</v>
      </c>
      <c r="AB75" s="452" t="s">
        <v>688</v>
      </c>
      <c r="AC75" s="452" t="s">
        <v>288</v>
      </c>
      <c r="AD75" s="452" t="s">
        <v>515</v>
      </c>
      <c r="AE75" s="452" t="s">
        <v>976</v>
      </c>
      <c r="AF75" s="333">
        <v>42156</v>
      </c>
      <c r="AG75" s="452"/>
      <c r="AH75" s="87" t="str">
        <f>IFERROR(VLOOKUP(Camp_List[[#This Row],[Responsible Agency]],Organization_t[],3,0),"")</f>
        <v>Richard Warren</v>
      </c>
      <c r="AI75" s="355">
        <f ca="1">IF((SUMIFS(Data_Shelter_t[Coverage],Data_Shelter_t[Pcode],Camp_List[[#This Row],[P_Code]]))&gt;1,1,SUMIFS(Data_Shelter_t[Coverage],Data_Shelter_t[Pcode],Camp_List[[#This Row],[P_Code]]))</f>
        <v>1</v>
      </c>
      <c r="BL75" s="21"/>
      <c r="BM75" s="21"/>
      <c r="BO75" s="81"/>
      <c r="BP75" s="81"/>
    </row>
    <row r="76" spans="1:68" x14ac:dyDescent="0.25">
      <c r="A76" s="452" t="s">
        <v>358</v>
      </c>
      <c r="B76" s="452" t="s">
        <v>7</v>
      </c>
      <c r="C76" s="452" t="s">
        <v>361</v>
      </c>
      <c r="D76" s="452" t="s">
        <v>19</v>
      </c>
      <c r="E76" s="452" t="s">
        <v>623</v>
      </c>
      <c r="F76" s="452" t="s">
        <v>915</v>
      </c>
      <c r="G76" s="452" t="s">
        <v>383</v>
      </c>
      <c r="H76" s="452" t="s">
        <v>523</v>
      </c>
      <c r="I76" s="452" t="s">
        <v>555</v>
      </c>
      <c r="J76" s="452" t="s">
        <v>492</v>
      </c>
      <c r="K76" s="452" t="s">
        <v>493</v>
      </c>
      <c r="L76" s="452" t="s">
        <v>37</v>
      </c>
      <c r="M76" s="452" t="s">
        <v>124</v>
      </c>
      <c r="N76" s="87">
        <v>93.373951000000005</v>
      </c>
      <c r="O76" s="87">
        <v>20.041981</v>
      </c>
      <c r="P76" s="452"/>
      <c r="Q76" s="331">
        <v>42</v>
      </c>
      <c r="R76" s="331">
        <v>198</v>
      </c>
      <c r="S76" s="332">
        <v>4.8292682926829267</v>
      </c>
      <c r="T76" s="452" t="s">
        <v>352</v>
      </c>
      <c r="U76" s="452" t="s">
        <v>786</v>
      </c>
      <c r="V76" s="452" t="s">
        <v>22</v>
      </c>
      <c r="W76" s="460"/>
      <c r="X76" s="452"/>
      <c r="Y76" s="452" t="s">
        <v>7</v>
      </c>
      <c r="Z76" s="452" t="s">
        <v>789</v>
      </c>
      <c r="AA76" s="452" t="str">
        <f>CONCATENATE(Camp_List[[#This Row],[Ethnicity]],"-",Camp_List[[#This Row],[Religion]])</f>
        <v>Rakhine-Buddhist</v>
      </c>
      <c r="AB76" s="452" t="s">
        <v>688</v>
      </c>
      <c r="AC76" s="452" t="s">
        <v>733</v>
      </c>
      <c r="AD76" s="452" t="s">
        <v>927</v>
      </c>
      <c r="AE76" s="452" t="s">
        <v>928</v>
      </c>
      <c r="AF76" s="333">
        <v>42130</v>
      </c>
      <c r="AG76" s="452"/>
      <c r="AH76" s="87" t="str">
        <f>IFERROR(VLOOKUP(Camp_List[[#This Row],[Responsible Agency]],Organization_t[],3,0),"")</f>
        <v>Trisha Bury
Health Program Manager (Sittwe)
trisha.bury@ri.org</v>
      </c>
      <c r="AI76" s="355">
        <f ca="1">IF((SUMIFS(Data_Shelter_t[Coverage],Data_Shelter_t[Pcode],Camp_List[[#This Row],[P_Code]]))&gt;1,1,SUMIFS(Data_Shelter_t[Coverage],Data_Shelter_t[Pcode],Camp_List[[#This Row],[P_Code]]))</f>
        <v>1</v>
      </c>
      <c r="BL76" s="21"/>
      <c r="BM76" s="21"/>
      <c r="BO76" s="81"/>
      <c r="BP76" s="81"/>
    </row>
    <row r="77" spans="1:68" x14ac:dyDescent="0.25">
      <c r="A77" s="452" t="s">
        <v>358</v>
      </c>
      <c r="B77" s="452" t="s">
        <v>7</v>
      </c>
      <c r="C77" s="452" t="s">
        <v>361</v>
      </c>
      <c r="D77" s="452" t="s">
        <v>19</v>
      </c>
      <c r="E77" s="452" t="s">
        <v>623</v>
      </c>
      <c r="F77" s="452" t="s">
        <v>915</v>
      </c>
      <c r="G77" s="452" t="s">
        <v>383</v>
      </c>
      <c r="H77" s="452" t="s">
        <v>390</v>
      </c>
      <c r="I77" s="452" t="s">
        <v>389</v>
      </c>
      <c r="J77" s="456" t="s">
        <v>521</v>
      </c>
      <c r="K77" s="452">
        <v>217973</v>
      </c>
      <c r="L77" s="452" t="s">
        <v>38</v>
      </c>
      <c r="M77" s="452" t="s">
        <v>125</v>
      </c>
      <c r="N77" s="87">
        <v>93.370037999999994</v>
      </c>
      <c r="O77" s="87">
        <v>20.037655000000001</v>
      </c>
      <c r="P77" s="452"/>
      <c r="Q77" s="331">
        <v>682</v>
      </c>
      <c r="R77" s="331">
        <v>2815</v>
      </c>
      <c r="S77" s="332">
        <v>4.043413173652695</v>
      </c>
      <c r="T77" s="452" t="s">
        <v>352</v>
      </c>
      <c r="U77" s="452" t="s">
        <v>786</v>
      </c>
      <c r="V77" s="452" t="s">
        <v>22</v>
      </c>
      <c r="W77" s="460"/>
      <c r="X77" s="452"/>
      <c r="Y77" s="452" t="s">
        <v>805</v>
      </c>
      <c r="Z77" s="452" t="s">
        <v>680</v>
      </c>
      <c r="AA77" s="452" t="str">
        <f>CONCATENATE(Camp_List[[#This Row],[Ethnicity]],"-",Camp_List[[#This Row],[Religion]])</f>
        <v xml:space="preserve"> -Muslim</v>
      </c>
      <c r="AB77" s="452" t="s">
        <v>688</v>
      </c>
      <c r="AC77" s="452" t="s">
        <v>733</v>
      </c>
      <c r="AD77" s="452" t="s">
        <v>927</v>
      </c>
      <c r="AE77" s="452" t="s">
        <v>928</v>
      </c>
      <c r="AF77" s="333">
        <v>42128</v>
      </c>
      <c r="AG77" s="452"/>
      <c r="AH77" s="87" t="str">
        <f>IFERROR(VLOOKUP(Camp_List[[#This Row],[Responsible Agency]],Organization_t[],3,0),"")</f>
        <v>Trisha Bury
Health Program Manager (Sittwe)
trisha.bury@ri.org</v>
      </c>
      <c r="AI77" s="355">
        <f ca="1">IF((SUMIFS(Data_Shelter_t[Coverage],Data_Shelter_t[Pcode],Camp_List[[#This Row],[P_Code]]))&gt;1,1,SUMIFS(Data_Shelter_t[Coverage],Data_Shelter_t[Pcode],Camp_List[[#This Row],[P_Code]]))</f>
        <v>1</v>
      </c>
      <c r="BL77" s="21"/>
      <c r="BM77" s="21"/>
      <c r="BO77" s="81"/>
      <c r="BP77" s="81"/>
    </row>
    <row r="78" spans="1:68" x14ac:dyDescent="0.25">
      <c r="A78" s="452" t="s">
        <v>358</v>
      </c>
      <c r="B78" s="452" t="s">
        <v>7</v>
      </c>
      <c r="C78" s="452" t="s">
        <v>361</v>
      </c>
      <c r="D78" s="452" t="s">
        <v>19</v>
      </c>
      <c r="E78" s="452" t="s">
        <v>623</v>
      </c>
      <c r="F78" s="452" t="s">
        <v>14</v>
      </c>
      <c r="G78" s="452" t="s">
        <v>382</v>
      </c>
      <c r="H78" s="452" t="s">
        <v>388</v>
      </c>
      <c r="I78" s="452" t="s">
        <v>387</v>
      </c>
      <c r="J78" s="452" t="s">
        <v>500</v>
      </c>
      <c r="K78" s="452">
        <v>197537</v>
      </c>
      <c r="L78" s="452" t="s">
        <v>40</v>
      </c>
      <c r="M78" s="452" t="s">
        <v>127</v>
      </c>
      <c r="N78" s="87">
        <v>92.985095000000001</v>
      </c>
      <c r="O78" s="87">
        <v>20.108101999999999</v>
      </c>
      <c r="P78" s="452"/>
      <c r="Q78" s="331">
        <v>1154</v>
      </c>
      <c r="R78" s="331">
        <v>4218</v>
      </c>
      <c r="S78" s="332">
        <v>3.7019064124783361</v>
      </c>
      <c r="T78" s="452" t="s">
        <v>352</v>
      </c>
      <c r="U78" s="452" t="s">
        <v>786</v>
      </c>
      <c r="V78" s="452" t="s">
        <v>22</v>
      </c>
      <c r="W78" s="460"/>
      <c r="X78" s="452"/>
      <c r="Y78" s="452" t="s">
        <v>805</v>
      </c>
      <c r="Z78" s="452" t="s">
        <v>680</v>
      </c>
      <c r="AA78" s="452" t="str">
        <f>CONCATENATE(Camp_List[[#This Row],[Ethnicity]],"-",Camp_List[[#This Row],[Religion]])</f>
        <v xml:space="preserve"> -Muslim</v>
      </c>
      <c r="AB78" s="452" t="s">
        <v>687</v>
      </c>
      <c r="AC78" s="452" t="s">
        <v>643</v>
      </c>
      <c r="AD78" s="452" t="s">
        <v>927</v>
      </c>
      <c r="AE78" s="452" t="s">
        <v>928</v>
      </c>
      <c r="AF78" s="333">
        <v>42100</v>
      </c>
      <c r="AG78" s="452"/>
      <c r="AH78" s="87" t="str">
        <f>IFERROR(VLOOKUP(Camp_List[[#This Row],[Responsible Agency]],Organization_t[],3,0),"")</f>
        <v>Yadu Shresk
Emergency Project Coordinator
campro.mmr@lwfdws.org</v>
      </c>
      <c r="AI78" s="355">
        <f ca="1">IF((SUMIFS(Data_Shelter_t[Coverage],Data_Shelter_t[Pcode],Camp_List[[#This Row],[P_Code]]))&gt;1,1,SUMIFS(Data_Shelter_t[Coverage],Data_Shelter_t[Pcode],Camp_List[[#This Row],[P_Code]]))</f>
        <v>0.66551126516464476</v>
      </c>
      <c r="BL78" s="21"/>
      <c r="BM78" s="21"/>
      <c r="BO78" s="81"/>
      <c r="BP78" s="81"/>
    </row>
    <row r="79" spans="1:68" x14ac:dyDescent="0.25">
      <c r="A79" s="452" t="s">
        <v>358</v>
      </c>
      <c r="B79" s="452" t="s">
        <v>7</v>
      </c>
      <c r="C79" s="452" t="s">
        <v>361</v>
      </c>
      <c r="D79" s="452" t="s">
        <v>19</v>
      </c>
      <c r="E79" s="452" t="s">
        <v>623</v>
      </c>
      <c r="F79" s="452" t="s">
        <v>14</v>
      </c>
      <c r="G79" s="452" t="s">
        <v>382</v>
      </c>
      <c r="H79" s="452" t="s">
        <v>523</v>
      </c>
      <c r="I79" s="452" t="s">
        <v>589</v>
      </c>
      <c r="J79" s="452" t="s">
        <v>501</v>
      </c>
      <c r="K79" s="452" t="s">
        <v>502</v>
      </c>
      <c r="L79" s="452" t="s">
        <v>39</v>
      </c>
      <c r="M79" s="452" t="s">
        <v>126</v>
      </c>
      <c r="N79" s="87">
        <v>93.067891000000003</v>
      </c>
      <c r="O79" s="87">
        <v>20.173468</v>
      </c>
      <c r="P79" s="452"/>
      <c r="Q79" s="331">
        <v>21</v>
      </c>
      <c r="R79" s="331">
        <v>122</v>
      </c>
      <c r="S79" s="332">
        <v>5.8095238095238093</v>
      </c>
      <c r="T79" s="452" t="s">
        <v>352</v>
      </c>
      <c r="U79" s="452" t="s">
        <v>786</v>
      </c>
      <c r="V79" s="452" t="s">
        <v>22</v>
      </c>
      <c r="W79" s="460"/>
      <c r="X79" s="452"/>
      <c r="Y79" s="452" t="s">
        <v>7</v>
      </c>
      <c r="Z79" s="452" t="s">
        <v>789</v>
      </c>
      <c r="AA79" s="452" t="str">
        <f>CONCATENATE(Camp_List[[#This Row],[Ethnicity]],"-",Camp_List[[#This Row],[Religion]])</f>
        <v>Rakhine-Buddhist</v>
      </c>
      <c r="AB79" s="452" t="s">
        <v>687</v>
      </c>
      <c r="AC79" s="452" t="s">
        <v>643</v>
      </c>
      <c r="AD79" s="452" t="s">
        <v>927</v>
      </c>
      <c r="AE79" s="452" t="s">
        <v>928</v>
      </c>
      <c r="AF79" s="333">
        <v>42095</v>
      </c>
      <c r="AG79" s="452"/>
      <c r="AH79" s="87" t="str">
        <f>IFERROR(VLOOKUP(Camp_List[[#This Row],[Responsible Agency]],Organization_t[],3,0),"")</f>
        <v>Yadu Shresk
Emergency Project Coordinator
campro.mmr@lwfdws.org</v>
      </c>
      <c r="AI79" s="355">
        <f ca="1">IF((SUMIFS(Data_Shelter_t[Coverage],Data_Shelter_t[Pcode],Camp_List[[#This Row],[P_Code]]))&gt;1,1,SUMIFS(Data_Shelter_t[Coverage],Data_Shelter_t[Pcode],Camp_List[[#This Row],[P_Code]]))</f>
        <v>1</v>
      </c>
      <c r="BL79" s="21"/>
      <c r="BM79" s="21"/>
      <c r="BO79" s="81"/>
      <c r="BP79" s="81"/>
    </row>
    <row r="80" spans="1:68" x14ac:dyDescent="0.25">
      <c r="A80" s="452" t="s">
        <v>358</v>
      </c>
      <c r="B80" s="452" t="s">
        <v>7</v>
      </c>
      <c r="C80" s="452" t="s">
        <v>361</v>
      </c>
      <c r="D80" s="452" t="s">
        <v>19</v>
      </c>
      <c r="E80" s="452" t="s">
        <v>623</v>
      </c>
      <c r="F80" s="452" t="s">
        <v>14</v>
      </c>
      <c r="G80" s="452" t="s">
        <v>382</v>
      </c>
      <c r="H80" s="452" t="s">
        <v>388</v>
      </c>
      <c r="I80" s="452" t="s">
        <v>387</v>
      </c>
      <c r="J80" s="452" t="s">
        <v>42</v>
      </c>
      <c r="K80" s="452">
        <v>197533</v>
      </c>
      <c r="L80" s="452" t="s">
        <v>42</v>
      </c>
      <c r="M80" s="452" t="s">
        <v>129</v>
      </c>
      <c r="N80" s="87">
        <v>93.010368999999997</v>
      </c>
      <c r="O80" s="87">
        <v>20.090183</v>
      </c>
      <c r="P80" s="452"/>
      <c r="Q80" s="331">
        <v>1152</v>
      </c>
      <c r="R80" s="331">
        <v>5060</v>
      </c>
      <c r="S80" s="332">
        <v>4.8249227600411944</v>
      </c>
      <c r="T80" s="452" t="s">
        <v>352</v>
      </c>
      <c r="U80" s="452" t="s">
        <v>786</v>
      </c>
      <c r="V80" s="452" t="s">
        <v>22</v>
      </c>
      <c r="W80" s="460"/>
      <c r="X80" s="452"/>
      <c r="Y80" s="452" t="s">
        <v>805</v>
      </c>
      <c r="Z80" s="452" t="s">
        <v>680</v>
      </c>
      <c r="AA80" s="452" t="str">
        <f>CONCATENATE(Camp_List[[#This Row],[Ethnicity]],"-",Camp_List[[#This Row],[Religion]])</f>
        <v xml:space="preserve"> -Muslim</v>
      </c>
      <c r="AB80" s="452" t="s">
        <v>688</v>
      </c>
      <c r="AC80" s="452" t="s">
        <v>288</v>
      </c>
      <c r="AD80" s="452" t="s">
        <v>927</v>
      </c>
      <c r="AE80" s="452" t="s">
        <v>928</v>
      </c>
      <c r="AF80" s="333">
        <v>42173</v>
      </c>
      <c r="AG80" s="452"/>
      <c r="AH80" s="87" t="str">
        <f>IFERROR(VLOOKUP(Camp_List[[#This Row],[Responsible Agency]],Organization_t[],3,0),"")</f>
        <v>Richard Warren</v>
      </c>
      <c r="AI80" s="355">
        <f ca="1">IF((SUMIFS(Data_Shelter_t[Coverage],Data_Shelter_t[Pcode],Camp_List[[#This Row],[P_Code]]))&gt;1,1,SUMIFS(Data_Shelter_t[Coverage],Data_Shelter_t[Pcode],Camp_List[[#This Row],[P_Code]]))</f>
        <v>0.84027777777777779</v>
      </c>
      <c r="BL80" s="21"/>
      <c r="BM80" s="21"/>
      <c r="BO80" s="81"/>
      <c r="BP80" s="81"/>
    </row>
    <row r="81" spans="1:68" x14ac:dyDescent="0.25">
      <c r="A81" s="452" t="s">
        <v>358</v>
      </c>
      <c r="B81" s="452" t="s">
        <v>7</v>
      </c>
      <c r="C81" s="452" t="s">
        <v>361</v>
      </c>
      <c r="D81" s="452" t="s">
        <v>19</v>
      </c>
      <c r="E81" s="452" t="s">
        <v>623</v>
      </c>
      <c r="F81" s="452" t="s">
        <v>14</v>
      </c>
      <c r="G81" s="452" t="s">
        <v>382</v>
      </c>
      <c r="H81" s="452" t="s">
        <v>385</v>
      </c>
      <c r="I81" s="452" t="s">
        <v>384</v>
      </c>
      <c r="J81" s="452" t="s">
        <v>498</v>
      </c>
      <c r="K81" s="452">
        <v>197414</v>
      </c>
      <c r="L81" s="452" t="s">
        <v>41</v>
      </c>
      <c r="M81" s="452" t="s">
        <v>128</v>
      </c>
      <c r="N81" s="87">
        <v>93.154551999999995</v>
      </c>
      <c r="O81" s="87">
        <v>20.073437999999999</v>
      </c>
      <c r="P81" s="452"/>
      <c r="Q81" s="331">
        <v>1563</v>
      </c>
      <c r="R81" s="331">
        <v>7477</v>
      </c>
      <c r="S81" s="332">
        <v>4.7418321588725174</v>
      </c>
      <c r="T81" s="452" t="s">
        <v>352</v>
      </c>
      <c r="U81" s="452" t="s">
        <v>786</v>
      </c>
      <c r="V81" s="452" t="s">
        <v>22</v>
      </c>
      <c r="W81" s="460"/>
      <c r="X81" s="452"/>
      <c r="Y81" s="452" t="s">
        <v>805</v>
      </c>
      <c r="Z81" s="452" t="s">
        <v>680</v>
      </c>
      <c r="AA81" s="452" t="str">
        <f>CONCATENATE(Camp_List[[#This Row],[Ethnicity]],"-",Camp_List[[#This Row],[Religion]])</f>
        <v xml:space="preserve"> -Muslim</v>
      </c>
      <c r="AB81" s="452" t="s">
        <v>687</v>
      </c>
      <c r="AC81" s="452" t="s">
        <v>643</v>
      </c>
      <c r="AD81" s="452" t="s">
        <v>927</v>
      </c>
      <c r="AE81" s="452" t="s">
        <v>928</v>
      </c>
      <c r="AF81" s="333">
        <v>42097</v>
      </c>
      <c r="AG81" s="452"/>
      <c r="AH81" s="87" t="str">
        <f>IFERROR(VLOOKUP(Camp_List[[#This Row],[Responsible Agency]],Organization_t[],3,0),"")</f>
        <v>Yadu Shresk
Emergency Project Coordinator
campro.mmr@lwfdws.org</v>
      </c>
      <c r="AI81" s="355">
        <f ca="1">IF((SUMIFS(Data_Shelter_t[Coverage],Data_Shelter_t[Pcode],Camp_List[[#This Row],[P_Code]]))&gt;1,1,SUMIFS(Data_Shelter_t[Coverage],Data_Shelter_t[Pcode],Camp_List[[#This Row],[P_Code]]))</f>
        <v>1</v>
      </c>
      <c r="BL81" s="21"/>
      <c r="BM81" s="21"/>
      <c r="BO81" s="81"/>
      <c r="BP81" s="81"/>
    </row>
    <row r="82" spans="1:68" x14ac:dyDescent="0.25">
      <c r="A82" s="452" t="s">
        <v>358</v>
      </c>
      <c r="B82" s="452" t="s">
        <v>7</v>
      </c>
      <c r="C82" s="452" t="s">
        <v>361</v>
      </c>
      <c r="D82" s="452" t="s">
        <v>19</v>
      </c>
      <c r="E82" s="452" t="s">
        <v>623</v>
      </c>
      <c r="F82" s="452" t="s">
        <v>14</v>
      </c>
      <c r="G82" s="452" t="s">
        <v>382</v>
      </c>
      <c r="H82" s="452" t="s">
        <v>43</v>
      </c>
      <c r="I82" s="452" t="s">
        <v>386</v>
      </c>
      <c r="J82" s="452" t="s">
        <v>499</v>
      </c>
      <c r="K82" s="452">
        <v>197548</v>
      </c>
      <c r="L82" s="452" t="s">
        <v>43</v>
      </c>
      <c r="M82" s="452" t="s">
        <v>130</v>
      </c>
      <c r="N82" s="87">
        <v>92.993758999999997</v>
      </c>
      <c r="O82" s="87">
        <v>20.064226000000001</v>
      </c>
      <c r="P82" s="452"/>
      <c r="Q82" s="331">
        <v>794</v>
      </c>
      <c r="R82" s="331">
        <v>2668</v>
      </c>
      <c r="S82" s="332">
        <v>3.7519500780031203</v>
      </c>
      <c r="T82" s="452" t="s">
        <v>352</v>
      </c>
      <c r="U82" s="452" t="s">
        <v>786</v>
      </c>
      <c r="V82" s="452" t="s">
        <v>22</v>
      </c>
      <c r="W82" s="460"/>
      <c r="X82" s="452"/>
      <c r="Y82" s="452" t="s">
        <v>797</v>
      </c>
      <c r="Z82" s="452" t="s">
        <v>680</v>
      </c>
      <c r="AA82" s="452" t="str">
        <f>CONCATENATE(Camp_List[[#This Row],[Ethnicity]],"-",Camp_List[[#This Row],[Religion]])</f>
        <v>Kaman-Muslim</v>
      </c>
      <c r="AB82" s="452" t="s">
        <v>688</v>
      </c>
      <c r="AC82" s="452" t="s">
        <v>288</v>
      </c>
      <c r="AD82" s="452" t="s">
        <v>927</v>
      </c>
      <c r="AE82" s="452" t="s">
        <v>928</v>
      </c>
      <c r="AF82" s="333">
        <v>42212</v>
      </c>
      <c r="AG82" s="452"/>
      <c r="AH82" s="87" t="str">
        <f>IFERROR(VLOOKUP(Camp_List[[#This Row],[Responsible Agency]],Organization_t[],3,0),"")</f>
        <v>Richard Warren</v>
      </c>
      <c r="AI82" s="355">
        <f ca="1">IF((SUMIFS(Data_Shelter_t[Coverage],Data_Shelter_t[Pcode],Camp_List[[#This Row],[P_Code]]))&gt;1,1,SUMIFS(Data_Shelter_t[Coverage],Data_Shelter_t[Pcode],Camp_List[[#This Row],[P_Code]]))</f>
        <v>1</v>
      </c>
      <c r="BL82" s="21"/>
      <c r="BM82" s="21"/>
      <c r="BO82" s="81"/>
      <c r="BP82" s="81"/>
    </row>
    <row r="83" spans="1:68" x14ac:dyDescent="0.25">
      <c r="A83" s="452" t="s">
        <v>358</v>
      </c>
      <c r="B83" s="452" t="s">
        <v>7</v>
      </c>
      <c r="C83" s="452" t="s">
        <v>361</v>
      </c>
      <c r="D83" s="452" t="s">
        <v>627</v>
      </c>
      <c r="E83" s="452" t="s">
        <v>628</v>
      </c>
      <c r="F83" s="452" t="s">
        <v>18</v>
      </c>
      <c r="G83" s="452" t="s">
        <v>415</v>
      </c>
      <c r="H83" s="452" t="s">
        <v>418</v>
      </c>
      <c r="I83" s="452" t="s">
        <v>417</v>
      </c>
      <c r="J83" s="452"/>
      <c r="K83" s="452"/>
      <c r="L83" s="452" t="s">
        <v>60</v>
      </c>
      <c r="M83" s="452" t="s">
        <v>149</v>
      </c>
      <c r="N83" s="87">
        <v>93.865170000000006</v>
      </c>
      <c r="O83" s="87">
        <v>19.091054</v>
      </c>
      <c r="P83" s="452"/>
      <c r="Q83" s="331">
        <v>18</v>
      </c>
      <c r="R83" s="331">
        <v>77</v>
      </c>
      <c r="S83" s="332">
        <v>4.2777777777777777</v>
      </c>
      <c r="T83" s="452" t="s">
        <v>352</v>
      </c>
      <c r="U83" s="452" t="s">
        <v>786</v>
      </c>
      <c r="V83" s="452" t="s">
        <v>23</v>
      </c>
      <c r="W83" s="460"/>
      <c r="X83" s="452"/>
      <c r="Y83" s="452" t="s">
        <v>7</v>
      </c>
      <c r="Z83" s="452" t="s">
        <v>789</v>
      </c>
      <c r="AA83" s="452" t="str">
        <f>CONCATENATE(Camp_List[[#This Row],[Ethnicity]],"-",Camp_List[[#This Row],[Religion]])</f>
        <v>Rakhine-Buddhist</v>
      </c>
      <c r="AB83" s="452" t="s">
        <v>688</v>
      </c>
      <c r="AC83" s="452" t="s">
        <v>288</v>
      </c>
      <c r="AD83" s="452" t="s">
        <v>515</v>
      </c>
      <c r="AE83" s="452" t="s">
        <v>531</v>
      </c>
      <c r="AF83" s="333">
        <v>42097</v>
      </c>
      <c r="AG83" s="452" t="s">
        <v>523</v>
      </c>
      <c r="AH83" s="87" t="str">
        <f>IFERROR(VLOOKUP(Camp_List[[#This Row],[Responsible Agency]],Organization_t[],3,0),"")</f>
        <v>Richard Warren</v>
      </c>
      <c r="AI83" s="355">
        <f ca="1">IF((SUMIFS(Data_Shelter_t[Coverage],Data_Shelter_t[Pcode],Camp_List[[#This Row],[P_Code]]))&gt;1,1,SUMIFS(Data_Shelter_t[Coverage],Data_Shelter_t[Pcode],Camp_List[[#This Row],[P_Code]]))</f>
        <v>0</v>
      </c>
      <c r="BL83" s="21"/>
      <c r="BM83" s="21"/>
      <c r="BO83" s="81"/>
      <c r="BP83" s="81"/>
    </row>
    <row r="84" spans="1:68" x14ac:dyDescent="0.25">
      <c r="A84" s="452" t="s">
        <v>358</v>
      </c>
      <c r="B84" s="452" t="s">
        <v>7</v>
      </c>
      <c r="C84" s="452" t="s">
        <v>361</v>
      </c>
      <c r="D84" s="452" t="s">
        <v>627</v>
      </c>
      <c r="E84" s="452" t="s">
        <v>628</v>
      </c>
      <c r="F84" s="452" t="s">
        <v>18</v>
      </c>
      <c r="G84" s="452" t="s">
        <v>415</v>
      </c>
      <c r="H84" s="452" t="s">
        <v>418</v>
      </c>
      <c r="I84" s="452" t="s">
        <v>417</v>
      </c>
      <c r="J84" s="452"/>
      <c r="K84" s="452"/>
      <c r="L84" s="452" t="s">
        <v>59</v>
      </c>
      <c r="M84" s="452" t="s">
        <v>148</v>
      </c>
      <c r="N84" s="87">
        <v>93.857592999999994</v>
      </c>
      <c r="O84" s="87">
        <v>19.088283000000001</v>
      </c>
      <c r="P84" s="452"/>
      <c r="Q84" s="331">
        <v>60</v>
      </c>
      <c r="R84" s="331">
        <v>187</v>
      </c>
      <c r="S84" s="332">
        <v>3.1166666666666667</v>
      </c>
      <c r="T84" s="452" t="s">
        <v>352</v>
      </c>
      <c r="U84" s="452" t="s">
        <v>786</v>
      </c>
      <c r="V84" s="452" t="s">
        <v>22</v>
      </c>
      <c r="W84" s="452"/>
      <c r="X84" s="452"/>
      <c r="Y84" s="452" t="s">
        <v>805</v>
      </c>
      <c r="Z84" s="452" t="s">
        <v>680</v>
      </c>
      <c r="AA84" s="452" t="str">
        <f>CONCATENATE(Camp_List[[#This Row],[Ethnicity]],"-",Camp_List[[#This Row],[Religion]])</f>
        <v xml:space="preserve"> -Muslim</v>
      </c>
      <c r="AB84" s="452" t="s">
        <v>688</v>
      </c>
      <c r="AC84" s="452" t="s">
        <v>288</v>
      </c>
      <c r="AD84" s="452" t="s">
        <v>515</v>
      </c>
      <c r="AE84" s="452" t="s">
        <v>531</v>
      </c>
      <c r="AF84" s="333">
        <v>42097</v>
      </c>
      <c r="AG84" s="452" t="s">
        <v>523</v>
      </c>
      <c r="AH84" s="87" t="str">
        <f>IFERROR(VLOOKUP(Camp_List[[#This Row],[Responsible Agency]],Organization_t[],3,0),"")</f>
        <v>Richard Warren</v>
      </c>
      <c r="AI84" s="355">
        <f ca="1">IF((SUMIFS(Data_Shelter_t[Coverage],Data_Shelter_t[Pcode],Camp_List[[#This Row],[P_Code]]))&gt;1,1,SUMIFS(Data_Shelter_t[Coverage],Data_Shelter_t[Pcode],Camp_List[[#This Row],[P_Code]]))</f>
        <v>1</v>
      </c>
      <c r="BL84" s="21"/>
      <c r="BM84" s="21"/>
      <c r="BO84" s="81"/>
      <c r="BP84" s="81"/>
    </row>
    <row r="85" spans="1:68" x14ac:dyDescent="0.25">
      <c r="A85" s="452" t="s">
        <v>358</v>
      </c>
      <c r="B85" s="452" t="s">
        <v>7</v>
      </c>
      <c r="C85" s="452" t="s">
        <v>361</v>
      </c>
      <c r="D85" s="452" t="s">
        <v>19</v>
      </c>
      <c r="E85" s="452" t="s">
        <v>623</v>
      </c>
      <c r="F85" s="452" t="s">
        <v>16</v>
      </c>
      <c r="G85" s="452" t="s">
        <v>408</v>
      </c>
      <c r="H85" s="452" t="s">
        <v>412</v>
      </c>
      <c r="I85" s="452" t="s">
        <v>411</v>
      </c>
      <c r="J85" s="452" t="s">
        <v>412</v>
      </c>
      <c r="K85" s="452">
        <v>197590</v>
      </c>
      <c r="L85" s="452" t="s">
        <v>57</v>
      </c>
      <c r="M85" s="452" t="s">
        <v>145</v>
      </c>
      <c r="N85" s="87">
        <v>92.640022000000002</v>
      </c>
      <c r="O85" s="87">
        <v>20.569219</v>
      </c>
      <c r="P85" s="452"/>
      <c r="Q85" s="331">
        <v>251</v>
      </c>
      <c r="R85" s="331">
        <v>1308</v>
      </c>
      <c r="S85" s="332">
        <v>4.9240000000000004</v>
      </c>
      <c r="T85" s="452" t="s">
        <v>352</v>
      </c>
      <c r="U85" s="452" t="s">
        <v>786</v>
      </c>
      <c r="V85" s="452" t="s">
        <v>23</v>
      </c>
      <c r="W85" s="460"/>
      <c r="X85" s="452"/>
      <c r="Y85" s="452" t="s">
        <v>805</v>
      </c>
      <c r="Z85" s="452" t="s">
        <v>680</v>
      </c>
      <c r="AA85" s="452" t="str">
        <f>CONCATENATE(Camp_List[[#This Row],[Ethnicity]],"-",Camp_List[[#This Row],[Religion]])</f>
        <v xml:space="preserve"> -Muslim</v>
      </c>
      <c r="AB85" s="452" t="s">
        <v>688</v>
      </c>
      <c r="AC85" s="452" t="s">
        <v>288</v>
      </c>
      <c r="AD85" s="452" t="s">
        <v>515</v>
      </c>
      <c r="AE85" s="452" t="s">
        <v>531</v>
      </c>
      <c r="AF85" s="333">
        <v>42291</v>
      </c>
      <c r="AG85" s="458"/>
      <c r="AH85" s="21" t="str">
        <f>IFERROR(VLOOKUP(Camp_List[[#This Row],[Responsible Agency]],Organization_t[],3,0),"")</f>
        <v>Richard Warren</v>
      </c>
      <c r="AI85" s="355">
        <f>IF((SUMIFS(Data_Shelter_t[Coverage],Data_Shelter_t[Pcode],Camp_List[[#This Row],[P_Code]]))&gt;1,1,SUMIFS(Data_Shelter_t[Coverage],Data_Shelter_t[Pcode],Camp_List[[#This Row],[P_Code]]))</f>
        <v>0</v>
      </c>
      <c r="BL85" s="21"/>
      <c r="BM85" s="21"/>
      <c r="BO85" s="81"/>
      <c r="BP85" s="81"/>
    </row>
    <row r="86" spans="1:68" x14ac:dyDescent="0.25">
      <c r="A86" s="452" t="s">
        <v>358</v>
      </c>
      <c r="B86" s="452" t="s">
        <v>7</v>
      </c>
      <c r="C86" s="452" t="s">
        <v>361</v>
      </c>
      <c r="D86" s="452" t="s">
        <v>19</v>
      </c>
      <c r="E86" s="452" t="s">
        <v>623</v>
      </c>
      <c r="F86" s="452" t="s">
        <v>16</v>
      </c>
      <c r="G86" s="452" t="s">
        <v>408</v>
      </c>
      <c r="H86" s="452" t="s">
        <v>56</v>
      </c>
      <c r="I86" s="452" t="s">
        <v>413</v>
      </c>
      <c r="J86" s="452" t="s">
        <v>56</v>
      </c>
      <c r="K86" s="456">
        <v>197763</v>
      </c>
      <c r="L86" s="452" t="s">
        <v>56</v>
      </c>
      <c r="M86" s="452" t="s">
        <v>143</v>
      </c>
      <c r="N86" s="87">
        <v>92.781294000000003</v>
      </c>
      <c r="O86" s="87">
        <v>20.399269</v>
      </c>
      <c r="P86" s="452"/>
      <c r="Q86" s="331">
        <v>32</v>
      </c>
      <c r="R86" s="331">
        <v>157</v>
      </c>
      <c r="S86" s="332">
        <v>5.21875</v>
      </c>
      <c r="T86" s="452" t="s">
        <v>352</v>
      </c>
      <c r="U86" s="452" t="s">
        <v>786</v>
      </c>
      <c r="V86" s="452" t="s">
        <v>22</v>
      </c>
      <c r="W86" s="460"/>
      <c r="X86" s="452"/>
      <c r="Y86" s="452" t="s">
        <v>805</v>
      </c>
      <c r="Z86" s="452" t="s">
        <v>680</v>
      </c>
      <c r="AA86" s="452" t="str">
        <f>CONCATENATE(Camp_List[[#This Row],[Ethnicity]],"-",Camp_List[[#This Row],[Religion]])</f>
        <v xml:space="preserve"> -Muslim</v>
      </c>
      <c r="AB86" s="452" t="s">
        <v>688</v>
      </c>
      <c r="AC86" s="452" t="s">
        <v>288</v>
      </c>
      <c r="AD86" s="452" t="s">
        <v>515</v>
      </c>
      <c r="AE86" s="452" t="s">
        <v>531</v>
      </c>
      <c r="AF86" s="333">
        <v>42291</v>
      </c>
      <c r="AG86" s="452" t="s">
        <v>683</v>
      </c>
      <c r="AH86" s="87" t="str">
        <f>IFERROR(VLOOKUP(Camp_List[[#This Row],[Responsible Agency]],Organization_t[],3,0),"")</f>
        <v>Richard Warren</v>
      </c>
      <c r="AI86" s="355">
        <f ca="1">IF((SUMIFS(Data_Shelter_t[Coverage],Data_Shelter_t[Pcode],Camp_List[[#This Row],[P_Code]]))&gt;1,1,SUMIFS(Data_Shelter_t[Coverage],Data_Shelter_t[Pcode],Camp_List[[#This Row],[P_Code]]))</f>
        <v>1</v>
      </c>
      <c r="BL86" s="21"/>
      <c r="BM86" s="21"/>
      <c r="BO86" s="81"/>
      <c r="BP86" s="81"/>
    </row>
    <row r="87" spans="1:68" x14ac:dyDescent="0.25">
      <c r="A87" s="452" t="s">
        <v>358</v>
      </c>
      <c r="B87" s="452" t="s">
        <v>7</v>
      </c>
      <c r="C87" s="452" t="s">
        <v>361</v>
      </c>
      <c r="D87" s="452" t="s">
        <v>19</v>
      </c>
      <c r="E87" s="452" t="s">
        <v>623</v>
      </c>
      <c r="F87" s="452" t="s">
        <v>16</v>
      </c>
      <c r="G87" s="452" t="s">
        <v>408</v>
      </c>
      <c r="H87" s="452" t="s">
        <v>410</v>
      </c>
      <c r="I87" s="452" t="s">
        <v>409</v>
      </c>
      <c r="J87" s="452" t="s">
        <v>503</v>
      </c>
      <c r="K87" s="452">
        <v>197651</v>
      </c>
      <c r="L87" s="452" t="s">
        <v>624</v>
      </c>
      <c r="M87" s="452" t="s">
        <v>144</v>
      </c>
      <c r="N87" s="87">
        <v>92.660360999999995</v>
      </c>
      <c r="O87" s="87">
        <v>20.408453000000002</v>
      </c>
      <c r="P87" s="452"/>
      <c r="Q87" s="331">
        <v>217</v>
      </c>
      <c r="R87" s="331">
        <v>1297</v>
      </c>
      <c r="S87" s="332">
        <v>5.8853211009174311</v>
      </c>
      <c r="T87" s="452" t="s">
        <v>352</v>
      </c>
      <c r="U87" s="452" t="s">
        <v>786</v>
      </c>
      <c r="V87" s="452" t="s">
        <v>22</v>
      </c>
      <c r="W87" s="460"/>
      <c r="X87" s="452"/>
      <c r="Y87" s="452" t="s">
        <v>805</v>
      </c>
      <c r="Z87" s="452" t="s">
        <v>680</v>
      </c>
      <c r="AA87" s="452" t="str">
        <f>CONCATENATE(Camp_List[[#This Row],[Ethnicity]],"-",Camp_List[[#This Row],[Religion]])</f>
        <v xml:space="preserve"> -Muslim</v>
      </c>
      <c r="AB87" s="452" t="s">
        <v>688</v>
      </c>
      <c r="AC87" s="452" t="s">
        <v>288</v>
      </c>
      <c r="AD87" s="452" t="s">
        <v>515</v>
      </c>
      <c r="AE87" s="452" t="s">
        <v>531</v>
      </c>
      <c r="AF87" s="333">
        <v>42291</v>
      </c>
      <c r="AG87" s="452"/>
      <c r="AH87" s="87" t="str">
        <f>IFERROR(VLOOKUP(Camp_List[[#This Row],[Responsible Agency]],Organization_t[],3,0),"")</f>
        <v>Richard Warren</v>
      </c>
      <c r="AI87" s="355">
        <f ca="1">IF((SUMIFS(Data_Shelter_t[Coverage],Data_Shelter_t[Pcode],Camp_List[[#This Row],[P_Code]]))&gt;1,1,SUMIFS(Data_Shelter_t[Coverage],Data_Shelter_t[Pcode],Camp_List[[#This Row],[P_Code]]))</f>
        <v>0.88479262672811065</v>
      </c>
      <c r="BL87" s="21"/>
      <c r="BM87" s="21"/>
      <c r="BO87" s="81"/>
      <c r="BP87" s="81"/>
    </row>
    <row r="88" spans="1:68" x14ac:dyDescent="0.25">
      <c r="A88" s="452" t="s">
        <v>358</v>
      </c>
      <c r="B88" s="452" t="s">
        <v>7</v>
      </c>
      <c r="C88" s="452" t="s">
        <v>361</v>
      </c>
      <c r="D88" s="452" t="s">
        <v>19</v>
      </c>
      <c r="E88" s="452" t="s">
        <v>623</v>
      </c>
      <c r="F88" s="452" t="s">
        <v>16</v>
      </c>
      <c r="G88" s="452" t="s">
        <v>408</v>
      </c>
      <c r="H88" s="452" t="s">
        <v>410</v>
      </c>
      <c r="I88" s="452" t="s">
        <v>409</v>
      </c>
      <c r="J88" s="452" t="s">
        <v>626</v>
      </c>
      <c r="K88" s="452">
        <v>197652</v>
      </c>
      <c r="L88" s="452" t="s">
        <v>410</v>
      </c>
      <c r="M88" s="452" t="s">
        <v>625</v>
      </c>
      <c r="N88" s="87">
        <v>92.639589000000001</v>
      </c>
      <c r="O88" s="87">
        <v>20.447261000000001</v>
      </c>
      <c r="P88" s="452"/>
      <c r="Q88" s="331">
        <v>193</v>
      </c>
      <c r="R88" s="331">
        <v>961</v>
      </c>
      <c r="S88" s="332">
        <v>4.624365482233503</v>
      </c>
      <c r="T88" s="452" t="s">
        <v>352</v>
      </c>
      <c r="U88" s="452" t="s">
        <v>786</v>
      </c>
      <c r="V88" s="452" t="s">
        <v>22</v>
      </c>
      <c r="W88" s="460"/>
      <c r="X88" s="452"/>
      <c r="Y88" s="452" t="s">
        <v>805</v>
      </c>
      <c r="Z88" s="452" t="s">
        <v>680</v>
      </c>
      <c r="AA88" s="452" t="str">
        <f>CONCATENATE(Camp_List[[#This Row],[Ethnicity]],"-",Camp_List[[#This Row],[Religion]])</f>
        <v xml:space="preserve"> -Muslim</v>
      </c>
      <c r="AB88" s="452" t="s">
        <v>688</v>
      </c>
      <c r="AC88" s="452" t="s">
        <v>288</v>
      </c>
      <c r="AD88" s="452" t="s">
        <v>515</v>
      </c>
      <c r="AE88" s="452" t="s">
        <v>531</v>
      </c>
      <c r="AF88" s="333">
        <v>42291</v>
      </c>
      <c r="AG88" s="458"/>
      <c r="AH88" s="21" t="str">
        <f>IFERROR(VLOOKUP(Camp_List[[#This Row],[Responsible Agency]],Organization_t[],3,0),"")</f>
        <v>Richard Warren</v>
      </c>
      <c r="AI88" s="355">
        <f ca="1">IF((SUMIFS(Data_Shelter_t[Coverage],Data_Shelter_t[Pcode],Camp_List[[#This Row],[P_Code]]))&gt;1,1,SUMIFS(Data_Shelter_t[Coverage],Data_Shelter_t[Pcode],Camp_List[[#This Row],[P_Code]]))</f>
        <v>1</v>
      </c>
      <c r="BL88" s="21"/>
      <c r="BM88" s="21"/>
      <c r="BO88" s="81"/>
      <c r="BP88" s="81"/>
    </row>
    <row r="89" spans="1:68" x14ac:dyDescent="0.25">
      <c r="A89" s="452" t="s">
        <v>358</v>
      </c>
      <c r="B89" s="452" t="s">
        <v>7</v>
      </c>
      <c r="C89" s="452" t="s">
        <v>361</v>
      </c>
      <c r="D89" s="452" t="s">
        <v>19</v>
      </c>
      <c r="E89" s="452" t="s">
        <v>623</v>
      </c>
      <c r="F89" s="452" t="s">
        <v>16</v>
      </c>
      <c r="G89" s="452" t="s">
        <v>408</v>
      </c>
      <c r="H89" s="452" t="s">
        <v>55</v>
      </c>
      <c r="I89" s="452" t="s">
        <v>414</v>
      </c>
      <c r="J89" s="452" t="s">
        <v>504</v>
      </c>
      <c r="K89" s="452">
        <v>197780</v>
      </c>
      <c r="L89" s="452" t="s">
        <v>55</v>
      </c>
      <c r="M89" s="452" t="s">
        <v>142</v>
      </c>
      <c r="N89" s="87">
        <v>92.785706000000005</v>
      </c>
      <c r="O89" s="87">
        <v>20.335864000000001</v>
      </c>
      <c r="P89" s="452"/>
      <c r="Q89" s="331">
        <v>54</v>
      </c>
      <c r="R89" s="331">
        <v>332</v>
      </c>
      <c r="S89" s="332">
        <v>6.2857142857142856</v>
      </c>
      <c r="T89" s="452" t="s">
        <v>352</v>
      </c>
      <c r="U89" s="452" t="s">
        <v>786</v>
      </c>
      <c r="V89" s="452" t="s">
        <v>22</v>
      </c>
      <c r="W89" s="452"/>
      <c r="X89" s="452"/>
      <c r="Y89" s="452" t="s">
        <v>805</v>
      </c>
      <c r="Z89" s="452" t="s">
        <v>680</v>
      </c>
      <c r="AA89" s="452" t="str">
        <f>CONCATENATE(Camp_List[[#This Row],[Ethnicity]],"-",Camp_List[[#This Row],[Religion]])</f>
        <v xml:space="preserve"> -Muslim</v>
      </c>
      <c r="AB89" s="452" t="s">
        <v>688</v>
      </c>
      <c r="AC89" s="452" t="s">
        <v>288</v>
      </c>
      <c r="AD89" s="452" t="s">
        <v>515</v>
      </c>
      <c r="AE89" s="452" t="s">
        <v>531</v>
      </c>
      <c r="AF89" s="333">
        <v>42291</v>
      </c>
      <c r="AG89" s="452" t="s">
        <v>683</v>
      </c>
      <c r="AH89" s="87" t="str">
        <f>IFERROR(VLOOKUP(Camp_List[[#This Row],[Responsible Agency]],Organization_t[],3,0),"")</f>
        <v>Richard Warren</v>
      </c>
      <c r="AI89" s="355">
        <f ca="1">IF((SUMIFS(Data_Shelter_t[Coverage],Data_Shelter_t[Pcode],Camp_List[[#This Row],[P_Code]]))&gt;1,1,SUMIFS(Data_Shelter_t[Coverage],Data_Shelter_t[Pcode],Camp_List[[#This Row],[P_Code]]))</f>
        <v>1</v>
      </c>
      <c r="BL89" s="21"/>
      <c r="BM89" s="21"/>
      <c r="BO89" s="81"/>
      <c r="BP89" s="81"/>
    </row>
    <row r="90" spans="1:68" x14ac:dyDescent="0.25">
      <c r="A90" s="452" t="s">
        <v>358</v>
      </c>
      <c r="B90" s="452" t="s">
        <v>7</v>
      </c>
      <c r="C90" s="452" t="s">
        <v>361</v>
      </c>
      <c r="D90" s="452" t="s">
        <v>19</v>
      </c>
      <c r="E90" s="452" t="s">
        <v>623</v>
      </c>
      <c r="F90" s="452" t="s">
        <v>19</v>
      </c>
      <c r="G90" s="452" t="s">
        <v>423</v>
      </c>
      <c r="H90" s="452" t="s">
        <v>511</v>
      </c>
      <c r="I90" s="452" t="s">
        <v>590</v>
      </c>
      <c r="J90" s="452"/>
      <c r="K90" s="452" t="s">
        <v>512</v>
      </c>
      <c r="L90" s="452" t="s">
        <v>61</v>
      </c>
      <c r="M90" s="452" t="s">
        <v>150</v>
      </c>
      <c r="N90" s="87">
        <v>92.875814000000005</v>
      </c>
      <c r="O90" s="87">
        <v>20.128488999999998</v>
      </c>
      <c r="P90" s="452"/>
      <c r="Q90" s="331">
        <v>397</v>
      </c>
      <c r="R90" s="331">
        <v>2049</v>
      </c>
      <c r="S90" s="332">
        <v>5.1612090680100753</v>
      </c>
      <c r="T90" s="452" t="s">
        <v>352</v>
      </c>
      <c r="U90" s="452" t="s">
        <v>786</v>
      </c>
      <c r="V90" s="452" t="s">
        <v>22</v>
      </c>
      <c r="W90" s="452"/>
      <c r="X90" s="452"/>
      <c r="Y90" s="452" t="s">
        <v>805</v>
      </c>
      <c r="Z90" s="452" t="s">
        <v>680</v>
      </c>
      <c r="AA90" s="452" t="str">
        <f>CONCATENATE(Camp_List[[#This Row],[Ethnicity]],"-",Camp_List[[#This Row],[Religion]])</f>
        <v xml:space="preserve"> -Muslim</v>
      </c>
      <c r="AB90" s="452" t="s">
        <v>687</v>
      </c>
      <c r="AC90" s="452" t="s">
        <v>643</v>
      </c>
      <c r="AD90" s="452" t="s">
        <v>927</v>
      </c>
      <c r="AE90" s="452" t="s">
        <v>928</v>
      </c>
      <c r="AF90" s="333">
        <v>42086</v>
      </c>
      <c r="AG90" s="452"/>
      <c r="AH90" s="87" t="str">
        <f>IFERROR(VLOOKUP(Camp_List[[#This Row],[Responsible Agency]],Organization_t[],3,0),"")</f>
        <v>Yadu Shresk
Emergency Project Coordinator
campro.mmr@lwfdws.org</v>
      </c>
      <c r="AI90" s="355">
        <f ca="1">IF((SUMIFS(Data_Shelter_t[Coverage],Data_Shelter_t[Pcode],Camp_List[[#This Row],[P_Code]]))&gt;1,1,SUMIFS(Data_Shelter_t[Coverage],Data_Shelter_t[Pcode],Camp_List[[#This Row],[P_Code]]))</f>
        <v>1</v>
      </c>
      <c r="BL90" s="21"/>
      <c r="BM90" s="21"/>
      <c r="BO90" s="81"/>
      <c r="BP90" s="81"/>
    </row>
    <row r="91" spans="1:68" x14ac:dyDescent="0.25">
      <c r="A91" s="452" t="s">
        <v>358</v>
      </c>
      <c r="B91" s="452" t="s">
        <v>7</v>
      </c>
      <c r="C91" s="452" t="s">
        <v>361</v>
      </c>
      <c r="D91" s="452" t="s">
        <v>19</v>
      </c>
      <c r="E91" s="452" t="s">
        <v>623</v>
      </c>
      <c r="F91" s="452" t="s">
        <v>19</v>
      </c>
      <c r="G91" s="452" t="s">
        <v>423</v>
      </c>
      <c r="H91" s="452" t="s">
        <v>429</v>
      </c>
      <c r="I91" s="452" t="s">
        <v>428</v>
      </c>
      <c r="J91" s="452" t="s">
        <v>506</v>
      </c>
      <c r="K91" s="452">
        <v>196192</v>
      </c>
      <c r="L91" s="452" t="s">
        <v>569</v>
      </c>
      <c r="M91" s="452" t="s">
        <v>570</v>
      </c>
      <c r="N91" s="87">
        <v>92.804803000000007</v>
      </c>
      <c r="O91" s="87">
        <v>20.182987000000001</v>
      </c>
      <c r="P91" s="452"/>
      <c r="Q91" s="331">
        <v>41</v>
      </c>
      <c r="R91" s="331">
        <v>226</v>
      </c>
      <c r="S91" s="332">
        <v>5.5121951219512191</v>
      </c>
      <c r="T91" s="452" t="s">
        <v>352</v>
      </c>
      <c r="U91" s="452" t="s">
        <v>786</v>
      </c>
      <c r="V91" s="452" t="s">
        <v>854</v>
      </c>
      <c r="W91" s="452"/>
      <c r="X91" s="452"/>
      <c r="Y91" s="452" t="s">
        <v>805</v>
      </c>
      <c r="Z91" s="452" t="s">
        <v>680</v>
      </c>
      <c r="AA91" s="452" t="str">
        <f>CONCATENATE(Camp_List[[#This Row],[Ethnicity]],"-",Camp_List[[#This Row],[Religion]])</f>
        <v xml:space="preserve"> -Muslim</v>
      </c>
      <c r="AB91" s="452" t="s">
        <v>688</v>
      </c>
      <c r="AC91" s="452" t="s">
        <v>288</v>
      </c>
      <c r="AD91" s="452" t="s">
        <v>515</v>
      </c>
      <c r="AE91" s="452" t="s">
        <v>531</v>
      </c>
      <c r="AF91" s="333">
        <v>41872</v>
      </c>
      <c r="AG91" s="452"/>
      <c r="AH91" s="87" t="str">
        <f>IFERROR(VLOOKUP(Camp_List[[#This Row],[Responsible Agency]],Organization_t[],3,0),"")</f>
        <v>Richard Warren</v>
      </c>
      <c r="AI91" s="355">
        <f>IF((SUMIFS(Data_Shelter_t[Coverage],Data_Shelter_t[Pcode],Camp_List[[#This Row],[P_Code]]))&gt;1,1,SUMIFS(Data_Shelter_t[Coverage],Data_Shelter_t[Pcode],Camp_List[[#This Row],[P_Code]]))</f>
        <v>0</v>
      </c>
      <c r="BL91" s="21"/>
      <c r="BM91" s="21"/>
      <c r="BO91" s="81"/>
      <c r="BP91" s="81"/>
    </row>
    <row r="92" spans="1:68" x14ac:dyDescent="0.25">
      <c r="A92" s="452" t="s">
        <v>358</v>
      </c>
      <c r="B92" s="452" t="s">
        <v>7</v>
      </c>
      <c r="C92" s="452" t="s">
        <v>361</v>
      </c>
      <c r="D92" s="452" t="s">
        <v>19</v>
      </c>
      <c r="E92" s="452" t="s">
        <v>623</v>
      </c>
      <c r="F92" s="452" t="s">
        <v>19</v>
      </c>
      <c r="G92" s="452" t="s">
        <v>423</v>
      </c>
      <c r="H92" s="452" t="s">
        <v>429</v>
      </c>
      <c r="I92" s="452" t="s">
        <v>428</v>
      </c>
      <c r="J92" s="452" t="s">
        <v>506</v>
      </c>
      <c r="K92" s="452">
        <v>196192</v>
      </c>
      <c r="L92" s="452" t="s">
        <v>650</v>
      </c>
      <c r="M92" s="452" t="s">
        <v>652</v>
      </c>
      <c r="N92" s="87">
        <v>92.813028000000003</v>
      </c>
      <c r="O92" s="87">
        <v>20.179417000000001</v>
      </c>
      <c r="P92" s="452"/>
      <c r="Q92" s="331">
        <v>997</v>
      </c>
      <c r="R92" s="331">
        <v>4851</v>
      </c>
      <c r="S92" s="332">
        <v>4.8655967903711135</v>
      </c>
      <c r="T92" s="452" t="s">
        <v>352</v>
      </c>
      <c r="U92" s="452" t="s">
        <v>786</v>
      </c>
      <c r="V92" s="452" t="s">
        <v>22</v>
      </c>
      <c r="W92" s="452"/>
      <c r="X92" s="452"/>
      <c r="Y92" s="452" t="s">
        <v>805</v>
      </c>
      <c r="Z92" s="452" t="s">
        <v>680</v>
      </c>
      <c r="AA92" s="452" t="str">
        <f>CONCATENATE(Camp_List[[#This Row],[Ethnicity]],"-",Camp_List[[#This Row],[Religion]])</f>
        <v xml:space="preserve"> -Muslim</v>
      </c>
      <c r="AB92" s="452" t="s">
        <v>687</v>
      </c>
      <c r="AC92" s="452" t="s">
        <v>291</v>
      </c>
      <c r="AD92" s="452" t="s">
        <v>927</v>
      </c>
      <c r="AE92" s="452" t="s">
        <v>928</v>
      </c>
      <c r="AF92" s="333">
        <v>42087</v>
      </c>
      <c r="AG92" s="452"/>
      <c r="AH92" s="87" t="str">
        <f>IFERROR(VLOOKUP(Camp_List[[#This Row],[Responsible Agency]],Organization_t[],3,0),"")</f>
        <v>Veronica Costarelli
CCCM Project Coordinator
Veronica.Costarelli@drcmm.org</v>
      </c>
      <c r="AI92" s="355">
        <f ca="1">IF((SUMIFS(Data_Shelter_t[Coverage],Data_Shelter_t[Pcode],Camp_List[[#This Row],[P_Code]]))&gt;1,1,SUMIFS(Data_Shelter_t[Coverage],Data_Shelter_t[Pcode],Camp_List[[#This Row],[P_Code]]))</f>
        <v>1</v>
      </c>
      <c r="BL92" s="21"/>
      <c r="BM92" s="21"/>
      <c r="BO92" s="81"/>
      <c r="BP92" s="81"/>
    </row>
    <row r="93" spans="1:68" x14ac:dyDescent="0.25">
      <c r="A93" s="452" t="s">
        <v>358</v>
      </c>
      <c r="B93" s="452" t="s">
        <v>7</v>
      </c>
      <c r="C93" s="452" t="s">
        <v>361</v>
      </c>
      <c r="D93" s="452" t="s">
        <v>19</v>
      </c>
      <c r="E93" s="452" t="s">
        <v>623</v>
      </c>
      <c r="F93" s="452" t="s">
        <v>19</v>
      </c>
      <c r="G93" s="452" t="s">
        <v>423</v>
      </c>
      <c r="H93" s="452" t="s">
        <v>429</v>
      </c>
      <c r="I93" s="452" t="s">
        <v>428</v>
      </c>
      <c r="J93" s="452" t="s">
        <v>506</v>
      </c>
      <c r="K93" s="452">
        <v>196192</v>
      </c>
      <c r="L93" s="452" t="s">
        <v>651</v>
      </c>
      <c r="M93" s="452" t="s">
        <v>653</v>
      </c>
      <c r="N93" s="87">
        <v>92.807552000000001</v>
      </c>
      <c r="O93" s="87">
        <v>20.181405999999999</v>
      </c>
      <c r="P93" s="452"/>
      <c r="Q93" s="406">
        <v>1297</v>
      </c>
      <c r="R93" s="406">
        <v>6917</v>
      </c>
      <c r="S93" s="336">
        <v>5.3330763299922896</v>
      </c>
      <c r="T93" s="452" t="s">
        <v>352</v>
      </c>
      <c r="U93" s="452" t="s">
        <v>786</v>
      </c>
      <c r="V93" s="452" t="s">
        <v>22</v>
      </c>
      <c r="W93" s="452"/>
      <c r="X93" s="452"/>
      <c r="Y93" s="452" t="s">
        <v>805</v>
      </c>
      <c r="Z93" s="452" t="s">
        <v>680</v>
      </c>
      <c r="AA93" s="452" t="str">
        <f>CONCATENATE(Camp_List[[#This Row],[Ethnicity]],"-",Camp_List[[#This Row],[Religion]])</f>
        <v xml:space="preserve"> -Muslim</v>
      </c>
      <c r="AB93" s="452" t="s">
        <v>687</v>
      </c>
      <c r="AC93" s="452" t="s">
        <v>291</v>
      </c>
      <c r="AD93" s="452" t="s">
        <v>927</v>
      </c>
      <c r="AE93" s="452" t="s">
        <v>928</v>
      </c>
      <c r="AF93" s="333">
        <v>42088</v>
      </c>
      <c r="AG93" s="452"/>
      <c r="AH93" s="87" t="str">
        <f>IFERROR(VLOOKUP(Camp_List[[#This Row],[Responsible Agency]],Organization_t[],3,0),"")</f>
        <v>Veronica Costarelli
CCCM Project Coordinator
Veronica.Costarelli@drcmm.org</v>
      </c>
      <c r="AI93" s="355">
        <f ca="1">IF((SUMIFS(Data_Shelter_t[Coverage],Data_Shelter_t[Pcode],Camp_List[[#This Row],[P_Code]]))&gt;1,1,SUMIFS(Data_Shelter_t[Coverage],Data_Shelter_t[Pcode],Camp_List[[#This Row],[P_Code]]))</f>
        <v>1</v>
      </c>
      <c r="BL93" s="21"/>
      <c r="BM93" s="21"/>
      <c r="BO93" s="81"/>
      <c r="BP93" s="81"/>
    </row>
    <row r="94" spans="1:68" hidden="1" x14ac:dyDescent="0.25">
      <c r="A94" s="452" t="s">
        <v>359</v>
      </c>
      <c r="B94" s="452" t="s">
        <v>7</v>
      </c>
      <c r="C94" s="452" t="s">
        <v>361</v>
      </c>
      <c r="D94" s="452" t="s">
        <v>20</v>
      </c>
      <c r="E94" s="452" t="s">
        <v>641</v>
      </c>
      <c r="F94" s="452" t="s">
        <v>20</v>
      </c>
      <c r="G94" s="452" t="s">
        <v>458</v>
      </c>
      <c r="H94" s="452" t="s">
        <v>462</v>
      </c>
      <c r="I94" s="452" t="s">
        <v>461</v>
      </c>
      <c r="J94" s="452" t="s">
        <v>471</v>
      </c>
      <c r="K94" s="452">
        <v>198049</v>
      </c>
      <c r="L94" s="452" t="s">
        <v>111</v>
      </c>
      <c r="M94" s="452" t="s">
        <v>200</v>
      </c>
      <c r="N94" s="337">
        <v>92.435074999999998</v>
      </c>
      <c r="O94" s="337">
        <v>20.714532999999999</v>
      </c>
      <c r="P94" s="461"/>
      <c r="Q94" s="331"/>
      <c r="R94" s="331"/>
      <c r="S94" s="332">
        <v>0</v>
      </c>
      <c r="T94" s="452" t="s">
        <v>352</v>
      </c>
      <c r="U94" s="452" t="s">
        <v>786</v>
      </c>
      <c r="V94" s="452" t="s">
        <v>23</v>
      </c>
      <c r="W94" s="452"/>
      <c r="X94" s="452"/>
      <c r="Y94" s="452"/>
      <c r="Z94" s="452"/>
      <c r="AA94" s="452" t="str">
        <f>CONCATENATE(Camp_List[[#This Row],[Ethnicity]],"-",Camp_List[[#This Row],[Religion]])</f>
        <v>-</v>
      </c>
      <c r="AB94" s="452"/>
      <c r="AC94" s="452" t="s">
        <v>805</v>
      </c>
      <c r="AD94" s="452" t="s">
        <v>515</v>
      </c>
      <c r="AE94" s="452" t="s">
        <v>531</v>
      </c>
      <c r="AF94" s="333">
        <v>41520</v>
      </c>
      <c r="AG94" s="452"/>
      <c r="AH94" s="87">
        <f>IFERROR(VLOOKUP(Camp_List[[#This Row],[Responsible Agency]],Organization_t[],3,0),"")</f>
        <v>0</v>
      </c>
      <c r="AI94" s="355">
        <f>IF((SUMIFS(Data_Shelter_t[Coverage],Data_Shelter_t[Pcode],Camp_List[[#This Row],[P_Code]]))&gt;1,1,SUMIFS(Data_Shelter_t[Coverage],Data_Shelter_t[Pcode],Camp_List[[#This Row],[P_Code]]))</f>
        <v>0</v>
      </c>
      <c r="BL94" s="21"/>
      <c r="BM94" s="21"/>
      <c r="BO94" s="81"/>
      <c r="BP94" s="81"/>
    </row>
    <row r="95" spans="1:68" hidden="1" x14ac:dyDescent="0.25">
      <c r="A95" s="452" t="s">
        <v>359</v>
      </c>
      <c r="B95" s="452" t="s">
        <v>7</v>
      </c>
      <c r="C95" s="452" t="s">
        <v>361</v>
      </c>
      <c r="D95" s="452" t="s">
        <v>20</v>
      </c>
      <c r="E95" s="452" t="s">
        <v>641</v>
      </c>
      <c r="F95" s="452" t="s">
        <v>20</v>
      </c>
      <c r="G95" s="452" t="s">
        <v>458</v>
      </c>
      <c r="H95" s="452" t="s">
        <v>462</v>
      </c>
      <c r="I95" s="452" t="s">
        <v>461</v>
      </c>
      <c r="J95" s="452" t="s">
        <v>462</v>
      </c>
      <c r="K95" s="452">
        <v>198045</v>
      </c>
      <c r="L95" s="452" t="s">
        <v>109</v>
      </c>
      <c r="M95" s="452" t="s">
        <v>198</v>
      </c>
      <c r="N95" s="337">
        <v>92.426885999999996</v>
      </c>
      <c r="O95" s="337">
        <v>20.717331000000001</v>
      </c>
      <c r="P95" s="461"/>
      <c r="Q95" s="331"/>
      <c r="R95" s="331"/>
      <c r="S95" s="332">
        <v>0</v>
      </c>
      <c r="T95" s="452" t="s">
        <v>352</v>
      </c>
      <c r="U95" s="452" t="s">
        <v>786</v>
      </c>
      <c r="V95" s="452" t="s">
        <v>23</v>
      </c>
      <c r="W95" s="452"/>
      <c r="X95" s="452"/>
      <c r="Y95" s="452"/>
      <c r="Z95" s="452"/>
      <c r="AA95" s="452" t="str">
        <f>CONCATENATE(Camp_List[[#This Row],[Ethnicity]],"-",Camp_List[[#This Row],[Religion]])</f>
        <v>-</v>
      </c>
      <c r="AB95" s="452"/>
      <c r="AC95" s="452" t="s">
        <v>805</v>
      </c>
      <c r="AD95" s="452" t="s">
        <v>515</v>
      </c>
      <c r="AE95" s="452" t="s">
        <v>531</v>
      </c>
      <c r="AF95" s="333">
        <v>41520</v>
      </c>
      <c r="AG95" s="452"/>
      <c r="AH95" s="87">
        <f>IFERROR(VLOOKUP(Camp_List[[#This Row],[Responsible Agency]],Organization_t[],3,0),"")</f>
        <v>0</v>
      </c>
      <c r="AI95" s="355">
        <f>IF((SUMIFS(Data_Shelter_t[Coverage],Data_Shelter_t[Pcode],Camp_List[[#This Row],[P_Code]]))&gt;1,1,SUMIFS(Data_Shelter_t[Coverage],Data_Shelter_t[Pcode],Camp_List[[#This Row],[P_Code]]))</f>
        <v>0</v>
      </c>
      <c r="BL95" s="21"/>
      <c r="BM95" s="21"/>
      <c r="BO95" s="81"/>
      <c r="BP95" s="81"/>
    </row>
    <row r="96" spans="1:68" hidden="1" x14ac:dyDescent="0.25">
      <c r="A96" s="452" t="s">
        <v>359</v>
      </c>
      <c r="B96" s="452" t="s">
        <v>7</v>
      </c>
      <c r="C96" s="452" t="s">
        <v>631</v>
      </c>
      <c r="D96" s="452" t="s">
        <v>20</v>
      </c>
      <c r="E96" s="452" t="s">
        <v>641</v>
      </c>
      <c r="F96" s="452" t="s">
        <v>20</v>
      </c>
      <c r="G96" s="452" t="s">
        <v>458</v>
      </c>
      <c r="H96" s="452" t="s">
        <v>523</v>
      </c>
      <c r="I96" s="452" t="s">
        <v>525</v>
      </c>
      <c r="J96" s="452"/>
      <c r="K96" s="452"/>
      <c r="L96" s="452" t="s">
        <v>635</v>
      </c>
      <c r="M96" s="452" t="s">
        <v>639</v>
      </c>
      <c r="N96" s="87">
        <v>92.367932999999994</v>
      </c>
      <c r="O96" s="87">
        <v>20.825417000000002</v>
      </c>
      <c r="P96" s="452"/>
      <c r="Q96" s="331"/>
      <c r="R96" s="331"/>
      <c r="S96" s="332">
        <v>0</v>
      </c>
      <c r="T96" s="452" t="s">
        <v>352</v>
      </c>
      <c r="U96" s="452" t="s">
        <v>786</v>
      </c>
      <c r="V96" s="452" t="s">
        <v>23</v>
      </c>
      <c r="W96" s="452"/>
      <c r="X96" s="452"/>
      <c r="Y96" s="452"/>
      <c r="Z96" s="452"/>
      <c r="AA96" s="452" t="str">
        <f>CONCATENATE(Camp_List[[#This Row],[Ethnicity]],"-",Camp_List[[#This Row],[Religion]])</f>
        <v>-</v>
      </c>
      <c r="AB96" s="452"/>
      <c r="AC96" s="452" t="s">
        <v>805</v>
      </c>
      <c r="AD96" s="452" t="s">
        <v>515</v>
      </c>
      <c r="AE96" s="452" t="s">
        <v>531</v>
      </c>
      <c r="AF96" s="333">
        <v>41548</v>
      </c>
      <c r="AG96" s="452"/>
      <c r="AH96" s="87">
        <f>IFERROR(VLOOKUP(Camp_List[[#This Row],[Responsible Agency]],Organization_t[],3,0),"")</f>
        <v>0</v>
      </c>
      <c r="AI96" s="355">
        <f>IF((SUMIFS(Data_Shelter_t[Coverage],Data_Shelter_t[Pcode],Camp_List[[#This Row],[P_Code]]))&gt;1,1,SUMIFS(Data_Shelter_t[Coverage],Data_Shelter_t[Pcode],Camp_List[[#This Row],[P_Code]]))</f>
        <v>0</v>
      </c>
      <c r="BL96" s="21"/>
      <c r="BM96" s="21"/>
      <c r="BO96" s="81"/>
      <c r="BP96" s="81"/>
    </row>
    <row r="97" spans="1:68" x14ac:dyDescent="0.25">
      <c r="A97" s="452" t="s">
        <v>358</v>
      </c>
      <c r="B97" s="452" t="s">
        <v>7</v>
      </c>
      <c r="C97" s="452" t="s">
        <v>361</v>
      </c>
      <c r="D97" s="452" t="s">
        <v>19</v>
      </c>
      <c r="E97" s="452" t="s">
        <v>623</v>
      </c>
      <c r="F97" s="452" t="s">
        <v>19</v>
      </c>
      <c r="G97" s="452" t="s">
        <v>423</v>
      </c>
      <c r="H97" s="452" t="s">
        <v>427</v>
      </c>
      <c r="I97" s="456" t="s">
        <v>426</v>
      </c>
      <c r="J97" s="452" t="s">
        <v>507</v>
      </c>
      <c r="K97" s="456">
        <v>196206</v>
      </c>
      <c r="L97" s="452" t="s">
        <v>63</v>
      </c>
      <c r="M97" s="452" t="s">
        <v>152</v>
      </c>
      <c r="N97" s="87">
        <v>92.827427</v>
      </c>
      <c r="O97" s="87">
        <v>20.16846</v>
      </c>
      <c r="P97" s="452"/>
      <c r="Q97" s="331">
        <v>1397</v>
      </c>
      <c r="R97" s="331">
        <v>8189</v>
      </c>
      <c r="S97" s="332">
        <v>5.8618468146027203</v>
      </c>
      <c r="T97" s="452" t="s">
        <v>352</v>
      </c>
      <c r="U97" s="452" t="s">
        <v>786</v>
      </c>
      <c r="V97" s="452" t="s">
        <v>22</v>
      </c>
      <c r="W97" s="452"/>
      <c r="X97" s="452"/>
      <c r="Y97" s="452" t="s">
        <v>805</v>
      </c>
      <c r="Z97" s="452" t="s">
        <v>680</v>
      </c>
      <c r="AA97" s="452" t="str">
        <f>CONCATENATE(Camp_List[[#This Row],[Ethnicity]],"-",Camp_List[[#This Row],[Religion]])</f>
        <v xml:space="preserve"> -Muslim</v>
      </c>
      <c r="AB97" s="452" t="s">
        <v>687</v>
      </c>
      <c r="AC97" s="452" t="s">
        <v>291</v>
      </c>
      <c r="AD97" s="452" t="s">
        <v>927</v>
      </c>
      <c r="AE97" s="452" t="s">
        <v>928</v>
      </c>
      <c r="AF97" s="333">
        <v>42082</v>
      </c>
      <c r="AG97" s="452"/>
      <c r="AH97" s="87" t="str">
        <f>IFERROR(VLOOKUP(Camp_List[[#This Row],[Responsible Agency]],Organization_t[],3,0),"")</f>
        <v>Veronica Costarelli
CCCM Project Coordinator
Veronica.Costarelli@drcmm.org</v>
      </c>
      <c r="AI97" s="355">
        <f ca="1">IF((SUMIFS(Data_Shelter_t[Coverage],Data_Shelter_t[Pcode],Camp_List[[#This Row],[P_Code]]))&gt;1,1,SUMIFS(Data_Shelter_t[Coverage],Data_Shelter_t[Pcode],Camp_List[[#This Row],[P_Code]]))</f>
        <v>1</v>
      </c>
      <c r="BL97" s="21"/>
      <c r="BM97" s="21"/>
      <c r="BO97" s="81"/>
      <c r="BP97" s="81"/>
    </row>
    <row r="98" spans="1:68" hidden="1" x14ac:dyDescent="0.25">
      <c r="A98" s="452" t="s">
        <v>359</v>
      </c>
      <c r="B98" s="452" t="s">
        <v>7</v>
      </c>
      <c r="C98" s="452" t="s">
        <v>361</v>
      </c>
      <c r="D98" s="452"/>
      <c r="E98" s="452"/>
      <c r="F98" s="452" t="s">
        <v>11</v>
      </c>
      <c r="G98" s="452" t="s">
        <v>362</v>
      </c>
      <c r="H98" s="452" t="s">
        <v>366</v>
      </c>
      <c r="I98" s="452" t="s">
        <v>365</v>
      </c>
      <c r="J98" s="452" t="s">
        <v>31</v>
      </c>
      <c r="K98" s="452">
        <v>197021</v>
      </c>
      <c r="L98" s="452" t="s">
        <v>31</v>
      </c>
      <c r="M98" s="452" t="s">
        <v>118</v>
      </c>
      <c r="N98" s="87">
        <v>93.321956999999998</v>
      </c>
      <c r="O98" s="87">
        <v>20.403735999999999</v>
      </c>
      <c r="P98" s="452"/>
      <c r="Q98" s="331"/>
      <c r="R98" s="331"/>
      <c r="S98" s="332">
        <v>0</v>
      </c>
      <c r="T98" s="452" t="s">
        <v>352</v>
      </c>
      <c r="U98" s="452" t="s">
        <v>786</v>
      </c>
      <c r="V98" s="452" t="s">
        <v>23</v>
      </c>
      <c r="W98" s="452"/>
      <c r="X98" s="452"/>
      <c r="Y98" s="452"/>
      <c r="Z98" s="452"/>
      <c r="AA98" s="452" t="str">
        <f>CONCATENATE(Camp_List[[#This Row],[Ethnicity]],"-",Camp_List[[#This Row],[Religion]])</f>
        <v>-</v>
      </c>
      <c r="AB98" s="452"/>
      <c r="AC98" s="452" t="s">
        <v>805</v>
      </c>
      <c r="AD98" s="452" t="s">
        <v>515</v>
      </c>
      <c r="AE98" s="452" t="s">
        <v>531</v>
      </c>
      <c r="AF98" s="333">
        <v>41520</v>
      </c>
      <c r="AG98" s="452"/>
      <c r="AH98" s="87">
        <f>IFERROR(VLOOKUP(Camp_List[[#This Row],[Responsible Agency]],Organization_t[],3,0),"")</f>
        <v>0</v>
      </c>
      <c r="AI98" s="355">
        <f>IF((SUMIFS(Data_Shelter_t[Coverage],Data_Shelter_t[Pcode],Camp_List[[#This Row],[P_Code]]))&gt;1,1,SUMIFS(Data_Shelter_t[Coverage],Data_Shelter_t[Pcode],Camp_List[[#This Row],[P_Code]]))</f>
        <v>0</v>
      </c>
      <c r="BL98" s="21"/>
      <c r="BM98" s="21"/>
      <c r="BO98" s="81"/>
      <c r="BP98" s="81"/>
    </row>
    <row r="99" spans="1:68" hidden="1" x14ac:dyDescent="0.25">
      <c r="A99" s="452" t="s">
        <v>359</v>
      </c>
      <c r="B99" s="452" t="s">
        <v>7</v>
      </c>
      <c r="C99" s="452" t="s">
        <v>361</v>
      </c>
      <c r="D99" s="452" t="s">
        <v>19</v>
      </c>
      <c r="E99" s="452" t="s">
        <v>623</v>
      </c>
      <c r="F99" s="452" t="s">
        <v>14</v>
      </c>
      <c r="G99" s="452" t="s">
        <v>382</v>
      </c>
      <c r="H99" s="452" t="s">
        <v>43</v>
      </c>
      <c r="I99" s="452" t="s">
        <v>386</v>
      </c>
      <c r="J99" s="452" t="s">
        <v>499</v>
      </c>
      <c r="K99" s="452">
        <v>197548</v>
      </c>
      <c r="L99" s="452" t="s">
        <v>557</v>
      </c>
      <c r="M99" s="452" t="s">
        <v>281</v>
      </c>
      <c r="N99" s="87">
        <v>92.993758999999997</v>
      </c>
      <c r="O99" s="87">
        <v>20.064226000000001</v>
      </c>
      <c r="P99" s="452"/>
      <c r="Q99" s="331"/>
      <c r="R99" s="331"/>
      <c r="S99" s="332">
        <v>0</v>
      </c>
      <c r="T99" s="452" t="s">
        <v>352</v>
      </c>
      <c r="U99" s="452" t="s">
        <v>786</v>
      </c>
      <c r="V99" s="452" t="s">
        <v>23</v>
      </c>
      <c r="W99" s="452"/>
      <c r="X99" s="452"/>
      <c r="Y99" s="452"/>
      <c r="Z99" s="452"/>
      <c r="AA99" s="452" t="str">
        <f>CONCATENATE(Camp_List[[#This Row],[Ethnicity]],"-",Camp_List[[#This Row],[Religion]])</f>
        <v>-</v>
      </c>
      <c r="AB99" s="452"/>
      <c r="AC99" s="452" t="s">
        <v>805</v>
      </c>
      <c r="AD99" s="452" t="s">
        <v>515</v>
      </c>
      <c r="AE99" s="452" t="s">
        <v>531</v>
      </c>
      <c r="AF99" s="333">
        <v>41579</v>
      </c>
      <c r="AG99" s="452" t="s">
        <v>677</v>
      </c>
      <c r="AH99" s="87">
        <f>IFERROR(VLOOKUP(Camp_List[[#This Row],[Responsible Agency]],Organization_t[],3,0),"")</f>
        <v>0</v>
      </c>
      <c r="AI99" s="355">
        <f>IF((SUMIFS(Data_Shelter_t[Coverage],Data_Shelter_t[Pcode],Camp_List[[#This Row],[P_Code]]))&gt;1,1,SUMIFS(Data_Shelter_t[Coverage],Data_Shelter_t[Pcode],Camp_List[[#This Row],[P_Code]]))</f>
        <v>0</v>
      </c>
      <c r="BL99" s="21"/>
      <c r="BM99" s="21"/>
      <c r="BO99" s="81"/>
      <c r="BP99" s="81"/>
    </row>
    <row r="100" spans="1:68" hidden="1" x14ac:dyDescent="0.25">
      <c r="A100" s="452" t="s">
        <v>359</v>
      </c>
      <c r="B100" s="452" t="s">
        <v>7</v>
      </c>
      <c r="C100" s="452" t="s">
        <v>361</v>
      </c>
      <c r="D100" s="452" t="s">
        <v>19</v>
      </c>
      <c r="E100" s="452" t="s">
        <v>623</v>
      </c>
      <c r="F100" s="452" t="s">
        <v>19</v>
      </c>
      <c r="G100" s="452" t="s">
        <v>423</v>
      </c>
      <c r="H100" s="452" t="s">
        <v>427</v>
      </c>
      <c r="I100" s="452" t="s">
        <v>426</v>
      </c>
      <c r="J100" s="452" t="s">
        <v>509</v>
      </c>
      <c r="K100" s="452">
        <v>196209</v>
      </c>
      <c r="L100" s="452" t="s">
        <v>73</v>
      </c>
      <c r="M100" s="452" t="s">
        <v>162</v>
      </c>
      <c r="N100" s="87">
        <v>92.847966999999997</v>
      </c>
      <c r="O100" s="87">
        <v>20.147107999999999</v>
      </c>
      <c r="P100" s="452"/>
      <c r="Q100" s="331"/>
      <c r="R100" s="331"/>
      <c r="S100" s="332">
        <v>0</v>
      </c>
      <c r="T100" s="452" t="s">
        <v>352</v>
      </c>
      <c r="U100" s="452" t="s">
        <v>786</v>
      </c>
      <c r="V100" s="452" t="s">
        <v>23</v>
      </c>
      <c r="W100" s="452"/>
      <c r="X100" s="452"/>
      <c r="Y100" s="452"/>
      <c r="Z100" s="452"/>
      <c r="AA100" s="452" t="str">
        <f>CONCATENATE(Camp_List[[#This Row],[Ethnicity]],"-",Camp_List[[#This Row],[Religion]])</f>
        <v>-</v>
      </c>
      <c r="AB100" s="452"/>
      <c r="AC100" s="452" t="s">
        <v>805</v>
      </c>
      <c r="AD100" s="452" t="s">
        <v>515</v>
      </c>
      <c r="AE100" s="452" t="s">
        <v>531</v>
      </c>
      <c r="AF100" s="333">
        <v>41520</v>
      </c>
      <c r="AG100" s="452"/>
      <c r="AH100" s="87">
        <f>IFERROR(VLOOKUP(Camp_List[[#This Row],[Responsible Agency]],Organization_t[],3,0),"")</f>
        <v>0</v>
      </c>
      <c r="AI100" s="355">
        <f>IF((SUMIFS(Data_Shelter_t[Coverage],Data_Shelter_t[Pcode],Camp_List[[#This Row],[P_Code]]))&gt;1,1,SUMIFS(Data_Shelter_t[Coverage],Data_Shelter_t[Pcode],Camp_List[[#This Row],[P_Code]]))</f>
        <v>0</v>
      </c>
      <c r="BL100" s="21"/>
      <c r="BM100" s="21"/>
      <c r="BO100" s="81"/>
      <c r="BP100" s="81"/>
    </row>
    <row r="101" spans="1:68" hidden="1" x14ac:dyDescent="0.25">
      <c r="A101" s="452" t="s">
        <v>359</v>
      </c>
      <c r="B101" s="452" t="s">
        <v>7</v>
      </c>
      <c r="C101" s="452" t="s">
        <v>361</v>
      </c>
      <c r="D101" s="452" t="s">
        <v>19</v>
      </c>
      <c r="E101" s="452" t="s">
        <v>623</v>
      </c>
      <c r="F101" s="452" t="s">
        <v>19</v>
      </c>
      <c r="G101" s="452" t="s">
        <v>423</v>
      </c>
      <c r="H101" s="452" t="s">
        <v>427</v>
      </c>
      <c r="I101" s="452" t="s">
        <v>426</v>
      </c>
      <c r="J101" s="452" t="s">
        <v>514</v>
      </c>
      <c r="K101" s="452">
        <v>196216</v>
      </c>
      <c r="L101" s="452" t="s">
        <v>74</v>
      </c>
      <c r="M101" s="452" t="s">
        <v>163</v>
      </c>
      <c r="N101" s="87">
        <v>92.848348000000001</v>
      </c>
      <c r="O101" s="87">
        <v>20.133385000000001</v>
      </c>
      <c r="P101" s="452"/>
      <c r="Q101" s="331"/>
      <c r="R101" s="331"/>
      <c r="S101" s="332">
        <v>0</v>
      </c>
      <c r="T101" s="452" t="s">
        <v>352</v>
      </c>
      <c r="U101" s="452" t="s">
        <v>786</v>
      </c>
      <c r="V101" s="452" t="s">
        <v>23</v>
      </c>
      <c r="W101" s="452"/>
      <c r="X101" s="452"/>
      <c r="Y101" s="452"/>
      <c r="Z101" s="452"/>
      <c r="AA101" s="452" t="str">
        <f>CONCATENATE(Camp_List[[#This Row],[Ethnicity]],"-",Camp_List[[#This Row],[Religion]])</f>
        <v>-</v>
      </c>
      <c r="AB101" s="452"/>
      <c r="AC101" s="452" t="s">
        <v>805</v>
      </c>
      <c r="AD101" s="452" t="s">
        <v>515</v>
      </c>
      <c r="AE101" s="452" t="s">
        <v>531</v>
      </c>
      <c r="AF101" s="333">
        <v>41520</v>
      </c>
      <c r="AG101" s="452"/>
      <c r="AH101" s="87">
        <f>IFERROR(VLOOKUP(Camp_List[[#This Row],[Responsible Agency]],Organization_t[],3,0),"")</f>
        <v>0</v>
      </c>
      <c r="AI101" s="355">
        <f>IF((SUMIFS(Data_Shelter_t[Coverage],Data_Shelter_t[Pcode],Camp_List[[#This Row],[P_Code]]))&gt;1,1,SUMIFS(Data_Shelter_t[Coverage],Data_Shelter_t[Pcode],Camp_List[[#This Row],[P_Code]]))</f>
        <v>0</v>
      </c>
      <c r="BL101" s="21"/>
      <c r="BM101" s="21"/>
      <c r="BO101" s="81"/>
      <c r="BP101" s="81"/>
    </row>
    <row r="102" spans="1:68" hidden="1" x14ac:dyDescent="0.25">
      <c r="A102" s="452" t="s">
        <v>359</v>
      </c>
      <c r="B102" s="452" t="s">
        <v>7</v>
      </c>
      <c r="C102" s="452" t="s">
        <v>361</v>
      </c>
      <c r="D102" s="452" t="s">
        <v>19</v>
      </c>
      <c r="E102" s="452" t="s">
        <v>623</v>
      </c>
      <c r="F102" s="452" t="s">
        <v>19</v>
      </c>
      <c r="G102" s="452" t="s">
        <v>423</v>
      </c>
      <c r="H102" s="452" t="s">
        <v>425</v>
      </c>
      <c r="I102" s="452" t="s">
        <v>424</v>
      </c>
      <c r="J102" s="452" t="s">
        <v>67</v>
      </c>
      <c r="K102" s="452">
        <v>196154</v>
      </c>
      <c r="L102" s="452" t="s">
        <v>72</v>
      </c>
      <c r="M102" s="452" t="s">
        <v>161</v>
      </c>
      <c r="N102" s="87">
        <v>92.792958999999996</v>
      </c>
      <c r="O102" s="87">
        <v>20.205295</v>
      </c>
      <c r="P102" s="452"/>
      <c r="Q102" s="331"/>
      <c r="R102" s="331"/>
      <c r="S102" s="332">
        <v>0</v>
      </c>
      <c r="T102" s="452" t="s">
        <v>352</v>
      </c>
      <c r="U102" s="452" t="s">
        <v>786</v>
      </c>
      <c r="V102" s="452" t="s">
        <v>23</v>
      </c>
      <c r="W102" s="452"/>
      <c r="X102" s="452"/>
      <c r="Y102" s="452"/>
      <c r="Z102" s="452"/>
      <c r="AA102" s="452" t="str">
        <f>CONCATENATE(Camp_List[[#This Row],[Ethnicity]],"-",Camp_List[[#This Row],[Religion]])</f>
        <v>-</v>
      </c>
      <c r="AB102" s="452"/>
      <c r="AC102" s="452" t="s">
        <v>805</v>
      </c>
      <c r="AD102" s="452" t="s">
        <v>515</v>
      </c>
      <c r="AE102" s="452" t="s">
        <v>531</v>
      </c>
      <c r="AF102" s="333">
        <v>41520</v>
      </c>
      <c r="AG102" s="452"/>
      <c r="AH102" s="87">
        <f>IFERROR(VLOOKUP(Camp_List[[#This Row],[Responsible Agency]],Organization_t[],3,0),"")</f>
        <v>0</v>
      </c>
      <c r="AI102" s="355">
        <f>IF((SUMIFS(Data_Shelter_t[Coverage],Data_Shelter_t[Pcode],Camp_List[[#This Row],[P_Code]]))&gt;1,1,SUMIFS(Data_Shelter_t[Coverage],Data_Shelter_t[Pcode],Camp_List[[#This Row],[P_Code]]))</f>
        <v>0</v>
      </c>
      <c r="BL102" s="21"/>
      <c r="BM102" s="21"/>
      <c r="BO102" s="81"/>
      <c r="BP102" s="81"/>
    </row>
    <row r="103" spans="1:68" hidden="1" x14ac:dyDescent="0.25">
      <c r="A103" s="452" t="s">
        <v>359</v>
      </c>
      <c r="B103" s="452" t="s">
        <v>7</v>
      </c>
      <c r="C103" s="452" t="s">
        <v>361</v>
      </c>
      <c r="D103" s="452" t="s">
        <v>19</v>
      </c>
      <c r="E103" s="452" t="s">
        <v>623</v>
      </c>
      <c r="F103" s="452" t="s">
        <v>19</v>
      </c>
      <c r="G103" s="452" t="s">
        <v>423</v>
      </c>
      <c r="H103" s="452" t="s">
        <v>523</v>
      </c>
      <c r="I103" s="452" t="s">
        <v>576</v>
      </c>
      <c r="J103" s="452" t="s">
        <v>577</v>
      </c>
      <c r="K103" s="452" t="s">
        <v>578</v>
      </c>
      <c r="L103" s="452" t="s">
        <v>579</v>
      </c>
      <c r="M103" s="452" t="s">
        <v>580</v>
      </c>
      <c r="N103" s="87">
        <v>92.887277999999995</v>
      </c>
      <c r="O103" s="87">
        <v>20.151471999999998</v>
      </c>
      <c r="P103" s="452"/>
      <c r="Q103" s="331"/>
      <c r="R103" s="331"/>
      <c r="S103" s="332">
        <v>0</v>
      </c>
      <c r="T103" s="452" t="s">
        <v>352</v>
      </c>
      <c r="U103" s="452" t="s">
        <v>786</v>
      </c>
      <c r="V103" s="452" t="s">
        <v>23</v>
      </c>
      <c r="W103" s="452"/>
      <c r="X103" s="452"/>
      <c r="Y103" s="452"/>
      <c r="Z103" s="452"/>
      <c r="AA103" s="452" t="str">
        <f>CONCATENATE(Camp_List[[#This Row],[Ethnicity]],"-",Camp_List[[#This Row],[Religion]])</f>
        <v>-</v>
      </c>
      <c r="AB103" s="452"/>
      <c r="AC103" s="452" t="s">
        <v>805</v>
      </c>
      <c r="AD103" s="452" t="s">
        <v>515</v>
      </c>
      <c r="AE103" s="452" t="s">
        <v>531</v>
      </c>
      <c r="AF103" s="333">
        <v>41548</v>
      </c>
      <c r="AG103" s="452"/>
      <c r="AH103" s="87">
        <f>IFERROR(VLOOKUP(Camp_List[[#This Row],[Responsible Agency]],Organization_t[],3,0),"")</f>
        <v>0</v>
      </c>
      <c r="AI103" s="355">
        <f>IF((SUMIFS(Data_Shelter_t[Coverage],Data_Shelter_t[Pcode],Camp_List[[#This Row],[P_Code]]))&gt;1,1,SUMIFS(Data_Shelter_t[Coverage],Data_Shelter_t[Pcode],Camp_List[[#This Row],[P_Code]]))</f>
        <v>0</v>
      </c>
      <c r="BL103" s="21"/>
      <c r="BM103" s="21"/>
      <c r="BO103" s="81"/>
      <c r="BP103" s="81"/>
    </row>
    <row r="104" spans="1:68" hidden="1" x14ac:dyDescent="0.25">
      <c r="A104" s="452" t="s">
        <v>676</v>
      </c>
      <c r="B104" s="452" t="s">
        <v>7</v>
      </c>
      <c r="C104" s="452" t="s">
        <v>361</v>
      </c>
      <c r="D104" s="452" t="s">
        <v>19</v>
      </c>
      <c r="E104" s="452" t="s">
        <v>623</v>
      </c>
      <c r="F104" s="452" t="s">
        <v>19</v>
      </c>
      <c r="G104" s="452" t="s">
        <v>423</v>
      </c>
      <c r="H104" s="452" t="s">
        <v>427</v>
      </c>
      <c r="I104" s="452" t="s">
        <v>426</v>
      </c>
      <c r="J104" s="452" t="s">
        <v>505</v>
      </c>
      <c r="K104" s="452">
        <v>196211</v>
      </c>
      <c r="L104" s="452" t="s">
        <v>69</v>
      </c>
      <c r="M104" s="452" t="s">
        <v>158</v>
      </c>
      <c r="N104" s="87">
        <v>92.837576999999996</v>
      </c>
      <c r="O104" s="87">
        <v>20.156842000000001</v>
      </c>
      <c r="P104" s="452"/>
      <c r="Q104" s="331"/>
      <c r="R104" s="331"/>
      <c r="S104" s="332">
        <v>0</v>
      </c>
      <c r="T104" s="452" t="s">
        <v>352</v>
      </c>
      <c r="U104" s="452" t="s">
        <v>786</v>
      </c>
      <c r="V104" s="452" t="s">
        <v>23</v>
      </c>
      <c r="W104" s="452"/>
      <c r="X104" s="452"/>
      <c r="Y104" s="452"/>
      <c r="Z104" s="452"/>
      <c r="AA104" s="452" t="str">
        <f>CONCATENATE(Camp_List[[#This Row],[Ethnicity]],"-",Camp_List[[#This Row],[Religion]])</f>
        <v>-</v>
      </c>
      <c r="AB104" s="452"/>
      <c r="AC104" s="452" t="s">
        <v>805</v>
      </c>
      <c r="AD104" s="452" t="s">
        <v>515</v>
      </c>
      <c r="AE104" s="452" t="s">
        <v>531</v>
      </c>
      <c r="AF104" s="333">
        <v>41579</v>
      </c>
      <c r="AG104" s="452" t="s">
        <v>678</v>
      </c>
      <c r="AH104" s="87">
        <f>IFERROR(VLOOKUP(Camp_List[[#This Row],[Responsible Agency]],Organization_t[],3,0),"")</f>
        <v>0</v>
      </c>
      <c r="AI104" s="355">
        <f>IF((SUMIFS(Data_Shelter_t[Coverage],Data_Shelter_t[Pcode],Camp_List[[#This Row],[P_Code]]))&gt;1,1,SUMIFS(Data_Shelter_t[Coverage],Data_Shelter_t[Pcode],Camp_List[[#This Row],[P_Code]]))</f>
        <v>0</v>
      </c>
      <c r="BL104" s="21"/>
      <c r="BM104" s="21"/>
      <c r="BO104" s="81"/>
      <c r="BP104" s="81"/>
    </row>
    <row r="105" spans="1:68" hidden="1" x14ac:dyDescent="0.25">
      <c r="A105" s="452" t="s">
        <v>359</v>
      </c>
      <c r="B105" s="452" t="s">
        <v>7</v>
      </c>
      <c r="C105" s="452" t="s">
        <v>361</v>
      </c>
      <c r="D105" s="452" t="s">
        <v>19</v>
      </c>
      <c r="E105" s="452" t="s">
        <v>623</v>
      </c>
      <c r="F105" s="452" t="s">
        <v>12</v>
      </c>
      <c r="G105" s="452" t="s">
        <v>375</v>
      </c>
      <c r="H105" s="452" t="s">
        <v>523</v>
      </c>
      <c r="I105" s="452" t="s">
        <v>522</v>
      </c>
      <c r="J105" s="452"/>
      <c r="K105" s="452"/>
      <c r="L105" s="452" t="s">
        <v>35</v>
      </c>
      <c r="M105" s="452" t="s">
        <v>122</v>
      </c>
      <c r="N105" s="87">
        <v>93.187995999999998</v>
      </c>
      <c r="O105" s="87">
        <v>20.589569000000001</v>
      </c>
      <c r="P105" s="452" t="s">
        <v>957</v>
      </c>
      <c r="Q105" s="331"/>
      <c r="R105" s="331"/>
      <c r="S105" s="332">
        <v>0</v>
      </c>
      <c r="T105" s="452" t="s">
        <v>352</v>
      </c>
      <c r="U105" s="452" t="s">
        <v>786</v>
      </c>
      <c r="V105" s="452" t="s">
        <v>21</v>
      </c>
      <c r="W105" s="452"/>
      <c r="X105" s="452"/>
      <c r="Y105" s="452"/>
      <c r="Z105" s="452"/>
      <c r="AA105" s="452" t="str">
        <f>CONCATENATE(Camp_List[[#This Row],[Ethnicity]],"-",Camp_List[[#This Row],[Religion]])</f>
        <v>-</v>
      </c>
      <c r="AB105" s="452"/>
      <c r="AC105" s="452" t="s">
        <v>805</v>
      </c>
      <c r="AD105" s="452" t="s">
        <v>515</v>
      </c>
      <c r="AE105" s="452" t="s">
        <v>531</v>
      </c>
      <c r="AF105" s="333">
        <v>41548</v>
      </c>
      <c r="AG105" s="452" t="s">
        <v>524</v>
      </c>
      <c r="AH105" s="87">
        <f>IFERROR(VLOOKUP(Camp_List[[#This Row],[Responsible Agency]],Organization_t[],3,0),"")</f>
        <v>0</v>
      </c>
      <c r="AI105" s="355">
        <f>IF((SUMIFS(Data_Shelter_t[Coverage],Data_Shelter_t[Pcode],Camp_List[[#This Row],[P_Code]]))&gt;1,1,SUMIFS(Data_Shelter_t[Coverage],Data_Shelter_t[Pcode],Camp_List[[#This Row],[P_Code]]))</f>
        <v>0</v>
      </c>
      <c r="BL105" s="21"/>
      <c r="BM105" s="21"/>
      <c r="BO105" s="81"/>
      <c r="BP105" s="81"/>
    </row>
    <row r="106" spans="1:68" x14ac:dyDescent="0.25">
      <c r="A106" s="452" t="s">
        <v>358</v>
      </c>
      <c r="B106" s="452" t="s">
        <v>7</v>
      </c>
      <c r="C106" s="452" t="s">
        <v>361</v>
      </c>
      <c r="D106" s="452" t="s">
        <v>19</v>
      </c>
      <c r="E106" s="452" t="s">
        <v>623</v>
      </c>
      <c r="F106" s="452" t="s">
        <v>19</v>
      </c>
      <c r="G106" s="452" t="s">
        <v>423</v>
      </c>
      <c r="H106" s="452" t="s">
        <v>427</v>
      </c>
      <c r="I106" s="452" t="s">
        <v>426</v>
      </c>
      <c r="J106" s="452" t="s">
        <v>507</v>
      </c>
      <c r="K106" s="452">
        <v>196206</v>
      </c>
      <c r="L106" s="452" t="s">
        <v>558</v>
      </c>
      <c r="M106" s="452" t="s">
        <v>559</v>
      </c>
      <c r="N106" s="87">
        <v>92.830074999999994</v>
      </c>
      <c r="O106" s="87">
        <v>20.167421999999998</v>
      </c>
      <c r="P106" s="452"/>
      <c r="Q106" s="331">
        <v>518</v>
      </c>
      <c r="R106" s="331">
        <v>2951</v>
      </c>
      <c r="S106" s="332">
        <v>5.6969111969111967</v>
      </c>
      <c r="T106" s="452" t="s">
        <v>352</v>
      </c>
      <c r="U106" s="452" t="s">
        <v>786</v>
      </c>
      <c r="V106" s="452" t="s">
        <v>854</v>
      </c>
      <c r="W106" s="460"/>
      <c r="X106" s="452"/>
      <c r="Y106" s="452" t="s">
        <v>805</v>
      </c>
      <c r="Z106" s="452" t="s">
        <v>680</v>
      </c>
      <c r="AA106" s="452" t="str">
        <f>CONCATENATE(Camp_List[[#This Row],[Ethnicity]],"-",Camp_List[[#This Row],[Religion]])</f>
        <v xml:space="preserve"> -Muslim</v>
      </c>
      <c r="AB106" s="452" t="s">
        <v>688</v>
      </c>
      <c r="AC106" s="452" t="s">
        <v>288</v>
      </c>
      <c r="AD106" s="452" t="s">
        <v>515</v>
      </c>
      <c r="AE106" s="452" t="s">
        <v>531</v>
      </c>
      <c r="AF106" s="333">
        <v>41872</v>
      </c>
      <c r="AG106" s="452"/>
      <c r="AH106" s="87" t="str">
        <f>IFERROR(VLOOKUP(Camp_List[[#This Row],[Responsible Agency]],Organization_t[],3,0),"")</f>
        <v>Richard Warren</v>
      </c>
      <c r="AI106" s="355">
        <f>IF((SUMIFS(Data_Shelter_t[Coverage],Data_Shelter_t[Pcode],Camp_List[[#This Row],[P_Code]]))&gt;1,1,SUMIFS(Data_Shelter_t[Coverage],Data_Shelter_t[Pcode],Camp_List[[#This Row],[P_Code]]))</f>
        <v>0</v>
      </c>
      <c r="BL106" s="21"/>
      <c r="BM106" s="21"/>
      <c r="BO106" s="81"/>
      <c r="BP106" s="81"/>
    </row>
    <row r="107" spans="1:68" x14ac:dyDescent="0.25">
      <c r="A107" s="452" t="s">
        <v>358</v>
      </c>
      <c r="B107" s="452" t="s">
        <v>7</v>
      </c>
      <c r="C107" s="452" t="s">
        <v>361</v>
      </c>
      <c r="D107" s="452" t="s">
        <v>19</v>
      </c>
      <c r="E107" s="452" t="s">
        <v>623</v>
      </c>
      <c r="F107" s="452" t="s">
        <v>19</v>
      </c>
      <c r="G107" s="452" t="s">
        <v>423</v>
      </c>
      <c r="H107" s="452" t="s">
        <v>429</v>
      </c>
      <c r="I107" s="452" t="s">
        <v>428</v>
      </c>
      <c r="J107" s="452" t="s">
        <v>429</v>
      </c>
      <c r="K107" s="452">
        <v>196191</v>
      </c>
      <c r="L107" s="452" t="s">
        <v>64</v>
      </c>
      <c r="M107" s="452" t="s">
        <v>153</v>
      </c>
      <c r="N107" s="87">
        <v>92.823166999999998</v>
      </c>
      <c r="O107" s="87">
        <v>20.181778000000001</v>
      </c>
      <c r="P107" s="452"/>
      <c r="Q107" s="331">
        <v>799</v>
      </c>
      <c r="R107" s="331">
        <v>4354</v>
      </c>
      <c r="S107" s="332">
        <v>5.4411027568922306</v>
      </c>
      <c r="T107" s="452" t="s">
        <v>352</v>
      </c>
      <c r="U107" s="452" t="s">
        <v>786</v>
      </c>
      <c r="V107" s="452" t="s">
        <v>22</v>
      </c>
      <c r="W107" s="460"/>
      <c r="X107" s="452"/>
      <c r="Y107" s="452" t="s">
        <v>805</v>
      </c>
      <c r="Z107" s="452" t="s">
        <v>680</v>
      </c>
      <c r="AA107" s="452" t="str">
        <f>CONCATENATE(Camp_List[[#This Row],[Ethnicity]],"-",Camp_List[[#This Row],[Religion]])</f>
        <v xml:space="preserve"> -Muslim</v>
      </c>
      <c r="AB107" s="452" t="s">
        <v>687</v>
      </c>
      <c r="AC107" s="452" t="s">
        <v>643</v>
      </c>
      <c r="AD107" s="452" t="s">
        <v>927</v>
      </c>
      <c r="AE107" s="452" t="s">
        <v>928</v>
      </c>
      <c r="AF107" s="333">
        <v>42100</v>
      </c>
      <c r="AG107" s="452"/>
      <c r="AH107" s="87" t="str">
        <f>IFERROR(VLOOKUP(Camp_List[[#This Row],[Responsible Agency]],Organization_t[],3,0),"")</f>
        <v>Yadu Shresk
Emergency Project Coordinator
campro.mmr@lwfdws.org</v>
      </c>
      <c r="AI107" s="355">
        <f ca="1">IF((SUMIFS(Data_Shelter_t[Coverage],Data_Shelter_t[Pcode],Camp_List[[#This Row],[P_Code]]))&gt;1,1,SUMIFS(Data_Shelter_t[Coverage],Data_Shelter_t[Pcode],Camp_List[[#This Row],[P_Code]]))</f>
        <v>1</v>
      </c>
      <c r="BL107" s="21"/>
      <c r="BM107" s="21"/>
      <c r="BO107" s="81"/>
      <c r="BP107" s="81"/>
    </row>
    <row r="108" spans="1:68" x14ac:dyDescent="0.25">
      <c r="A108" s="452" t="s">
        <v>358</v>
      </c>
      <c r="B108" s="452" t="s">
        <v>7</v>
      </c>
      <c r="C108" s="452" t="s">
        <v>361</v>
      </c>
      <c r="D108" s="452" t="s">
        <v>19</v>
      </c>
      <c r="E108" s="452" t="s">
        <v>623</v>
      </c>
      <c r="F108" s="452" t="s">
        <v>19</v>
      </c>
      <c r="G108" s="452" t="s">
        <v>423</v>
      </c>
      <c r="H108" s="452" t="s">
        <v>427</v>
      </c>
      <c r="I108" s="452" t="s">
        <v>426</v>
      </c>
      <c r="J108" s="452" t="s">
        <v>427</v>
      </c>
      <c r="K108" s="452">
        <v>196200</v>
      </c>
      <c r="L108" s="452" t="s">
        <v>649</v>
      </c>
      <c r="M108" s="452" t="s">
        <v>284</v>
      </c>
      <c r="N108" s="87">
        <v>92.831000000000003</v>
      </c>
      <c r="O108" s="87">
        <v>20.185917</v>
      </c>
      <c r="P108" s="452"/>
      <c r="Q108" s="331">
        <v>624</v>
      </c>
      <c r="R108" s="331">
        <v>3352</v>
      </c>
      <c r="S108" s="332">
        <v>5.3717948717948714</v>
      </c>
      <c r="T108" s="452" t="s">
        <v>352</v>
      </c>
      <c r="U108" s="452" t="s">
        <v>786</v>
      </c>
      <c r="V108" s="452" t="s">
        <v>22</v>
      </c>
      <c r="W108" s="460"/>
      <c r="X108" s="452"/>
      <c r="Y108" s="452" t="s">
        <v>805</v>
      </c>
      <c r="Z108" s="452" t="s">
        <v>680</v>
      </c>
      <c r="AA108" s="452" t="str">
        <f>CONCATENATE(Camp_List[[#This Row],[Ethnicity]],"-",Camp_List[[#This Row],[Religion]])</f>
        <v xml:space="preserve"> -Muslim</v>
      </c>
      <c r="AB108" s="452" t="s">
        <v>688</v>
      </c>
      <c r="AC108" s="452" t="s">
        <v>288</v>
      </c>
      <c r="AD108" s="452" t="s">
        <v>927</v>
      </c>
      <c r="AE108" s="452" t="s">
        <v>928</v>
      </c>
      <c r="AF108" s="333">
        <v>42163</v>
      </c>
      <c r="AG108" s="452"/>
      <c r="AH108" s="87" t="str">
        <f>IFERROR(VLOOKUP(Camp_List[[#This Row],[Responsible Agency]],Organization_t[],3,0),"")</f>
        <v>Richard Warren</v>
      </c>
      <c r="AI108" s="355">
        <f ca="1">IF((SUMIFS(Data_Shelter_t[Coverage],Data_Shelter_t[Pcode],Camp_List[[#This Row],[P_Code]]))&gt;1,1,SUMIFS(Data_Shelter_t[Coverage],Data_Shelter_t[Pcode],Camp_List[[#This Row],[P_Code]]))</f>
        <v>1</v>
      </c>
      <c r="BL108" s="21"/>
      <c r="BM108" s="21"/>
      <c r="BO108" s="81"/>
      <c r="BP108" s="81"/>
    </row>
    <row r="109" spans="1:68" x14ac:dyDescent="0.25">
      <c r="A109" s="452" t="s">
        <v>358</v>
      </c>
      <c r="B109" s="452" t="s">
        <v>7</v>
      </c>
      <c r="C109" s="452" t="s">
        <v>361</v>
      </c>
      <c r="D109" s="452" t="s">
        <v>19</v>
      </c>
      <c r="E109" s="452" t="s">
        <v>623</v>
      </c>
      <c r="F109" s="452" t="s">
        <v>19</v>
      </c>
      <c r="G109" s="452" t="s">
        <v>423</v>
      </c>
      <c r="H109" s="452" t="s">
        <v>425</v>
      </c>
      <c r="I109" s="452" t="s">
        <v>424</v>
      </c>
      <c r="J109" s="452" t="s">
        <v>560</v>
      </c>
      <c r="K109" s="452">
        <v>196158</v>
      </c>
      <c r="L109" s="452" t="s">
        <v>654</v>
      </c>
      <c r="M109" s="452" t="s">
        <v>561</v>
      </c>
      <c r="N109" s="87">
        <v>92.774193999999994</v>
      </c>
      <c r="O109" s="87">
        <v>20.206778</v>
      </c>
      <c r="P109" s="452"/>
      <c r="Q109" s="331">
        <v>649</v>
      </c>
      <c r="R109" s="331">
        <v>3389</v>
      </c>
      <c r="S109" s="332">
        <v>5.221879815100154</v>
      </c>
      <c r="T109" s="452" t="s">
        <v>352</v>
      </c>
      <c r="U109" s="452" t="s">
        <v>786</v>
      </c>
      <c r="V109" s="452" t="s">
        <v>22</v>
      </c>
      <c r="W109" s="460"/>
      <c r="X109" s="452"/>
      <c r="Y109" s="452" t="s">
        <v>805</v>
      </c>
      <c r="Z109" s="452" t="s">
        <v>680</v>
      </c>
      <c r="AA109" s="452" t="str">
        <f>CONCATENATE(Camp_List[[#This Row],[Ethnicity]],"-",Camp_List[[#This Row],[Religion]])</f>
        <v xml:space="preserve"> -Muslim</v>
      </c>
      <c r="AB109" s="452" t="s">
        <v>687</v>
      </c>
      <c r="AC109" s="452" t="s">
        <v>291</v>
      </c>
      <c r="AD109" s="452" t="s">
        <v>927</v>
      </c>
      <c r="AE109" s="452" t="s">
        <v>928</v>
      </c>
      <c r="AF109" s="333">
        <v>42080</v>
      </c>
      <c r="AG109" s="452"/>
      <c r="AH109" s="87" t="str">
        <f>IFERROR(VLOOKUP(Camp_List[[#This Row],[Responsible Agency]],Organization_t[],3,0),"")</f>
        <v>Veronica Costarelli
CCCM Project Coordinator
Veronica.Costarelli@drcmm.org</v>
      </c>
      <c r="AI109" s="355">
        <f ca="1">IF((SUMIFS(Data_Shelter_t[Coverage],Data_Shelter_t[Pcode],Camp_List[[#This Row],[P_Code]]))&gt;1,1,SUMIFS(Data_Shelter_t[Coverage],Data_Shelter_t[Pcode],Camp_List[[#This Row],[P_Code]]))</f>
        <v>0.98613251155624038</v>
      </c>
      <c r="BL109" s="21"/>
      <c r="BM109" s="21"/>
      <c r="BO109" s="81"/>
      <c r="BP109" s="81"/>
    </row>
    <row r="110" spans="1:68" x14ac:dyDescent="0.25">
      <c r="A110" s="452" t="s">
        <v>358</v>
      </c>
      <c r="B110" s="452" t="s">
        <v>7</v>
      </c>
      <c r="C110" s="452" t="s">
        <v>361</v>
      </c>
      <c r="D110" s="452" t="s">
        <v>19</v>
      </c>
      <c r="E110" s="452" t="s">
        <v>623</v>
      </c>
      <c r="F110" s="452" t="s">
        <v>19</v>
      </c>
      <c r="G110" s="452" t="s">
        <v>423</v>
      </c>
      <c r="H110" s="452" t="s">
        <v>429</v>
      </c>
      <c r="I110" s="452" t="s">
        <v>428</v>
      </c>
      <c r="J110" s="452" t="s">
        <v>506</v>
      </c>
      <c r="K110" s="452">
        <v>196192</v>
      </c>
      <c r="L110" s="452" t="s">
        <v>655</v>
      </c>
      <c r="M110" s="452" t="s">
        <v>657</v>
      </c>
      <c r="N110" s="87">
        <v>92.798880999999994</v>
      </c>
      <c r="O110" s="87">
        <v>20.18994</v>
      </c>
      <c r="P110" s="452"/>
      <c r="Q110" s="331">
        <v>2629</v>
      </c>
      <c r="R110" s="331">
        <v>13655</v>
      </c>
      <c r="S110" s="332">
        <v>5.1939901103081016</v>
      </c>
      <c r="T110" s="452" t="s">
        <v>352</v>
      </c>
      <c r="U110" s="452" t="s">
        <v>786</v>
      </c>
      <c r="V110" s="452" t="s">
        <v>22</v>
      </c>
      <c r="W110" s="460"/>
      <c r="X110" s="452"/>
      <c r="Y110" s="452" t="s">
        <v>805</v>
      </c>
      <c r="Z110" s="452" t="s">
        <v>680</v>
      </c>
      <c r="AA110" s="452" t="str">
        <f>CONCATENATE(Camp_List[[#This Row],[Ethnicity]],"-",Camp_List[[#This Row],[Religion]])</f>
        <v xml:space="preserve"> -Muslim</v>
      </c>
      <c r="AB110" s="452" t="s">
        <v>687</v>
      </c>
      <c r="AC110" s="452" t="s">
        <v>291</v>
      </c>
      <c r="AD110" s="452" t="s">
        <v>927</v>
      </c>
      <c r="AE110" s="452" t="s">
        <v>928</v>
      </c>
      <c r="AF110" s="333">
        <v>42101</v>
      </c>
      <c r="AG110" s="458" t="s">
        <v>686</v>
      </c>
      <c r="AH110" s="21" t="str">
        <f>IFERROR(VLOOKUP(Camp_List[[#This Row],[Responsible Agency]],Organization_t[],3,0),"")</f>
        <v>Veronica Costarelli
CCCM Project Coordinator
Veronica.Costarelli@drcmm.org</v>
      </c>
      <c r="AI110" s="355">
        <f ca="1">IF((SUMIFS(Data_Shelter_t[Coverage],Data_Shelter_t[Pcode],Camp_List[[#This Row],[P_Code]]))&gt;1,1,SUMIFS(Data_Shelter_t[Coverage],Data_Shelter_t[Pcode],Camp_List[[#This Row],[P_Code]]))</f>
        <v>1</v>
      </c>
      <c r="BL110" s="21"/>
      <c r="BM110" s="21"/>
      <c r="BO110" s="81"/>
      <c r="BP110" s="81"/>
    </row>
    <row r="111" spans="1:68" x14ac:dyDescent="0.25">
      <c r="A111" s="452" t="s">
        <v>358</v>
      </c>
      <c r="B111" s="452" t="s">
        <v>7</v>
      </c>
      <c r="C111" s="452" t="s">
        <v>361</v>
      </c>
      <c r="D111" s="452" t="s">
        <v>19</v>
      </c>
      <c r="E111" s="452" t="s">
        <v>623</v>
      </c>
      <c r="F111" s="452" t="s">
        <v>19</v>
      </c>
      <c r="G111" s="452" t="s">
        <v>423</v>
      </c>
      <c r="H111" s="452" t="s">
        <v>429</v>
      </c>
      <c r="I111" s="452" t="s">
        <v>428</v>
      </c>
      <c r="J111" s="452" t="s">
        <v>506</v>
      </c>
      <c r="K111" s="452">
        <v>196192</v>
      </c>
      <c r="L111" s="452" t="s">
        <v>656</v>
      </c>
      <c r="M111" s="452" t="s">
        <v>658</v>
      </c>
      <c r="N111" s="87">
        <v>92.802295999999998</v>
      </c>
      <c r="O111" s="87">
        <v>20.185092000000001</v>
      </c>
      <c r="P111" s="452"/>
      <c r="Q111" s="331">
        <v>2243</v>
      </c>
      <c r="R111" s="331">
        <v>12225</v>
      </c>
      <c r="S111" s="332">
        <v>5.2180115916183683</v>
      </c>
      <c r="T111" s="452" t="s">
        <v>352</v>
      </c>
      <c r="U111" s="452" t="s">
        <v>786</v>
      </c>
      <c r="V111" s="452" t="s">
        <v>22</v>
      </c>
      <c r="W111" s="460"/>
      <c r="X111" s="452"/>
      <c r="Y111" s="452" t="s">
        <v>805</v>
      </c>
      <c r="Z111" s="452" t="s">
        <v>680</v>
      </c>
      <c r="AA111" s="452" t="str">
        <f>CONCATENATE(Camp_List[[#This Row],[Ethnicity]],"-",Camp_List[[#This Row],[Religion]])</f>
        <v xml:space="preserve"> -Muslim</v>
      </c>
      <c r="AB111" s="452" t="s">
        <v>687</v>
      </c>
      <c r="AC111" s="452" t="s">
        <v>643</v>
      </c>
      <c r="AD111" s="452" t="s">
        <v>927</v>
      </c>
      <c r="AE111" s="452" t="s">
        <v>928</v>
      </c>
      <c r="AF111" s="333">
        <v>42102</v>
      </c>
      <c r="AG111" s="452"/>
      <c r="AH111" s="87" t="str">
        <f>IFERROR(VLOOKUP(Camp_List[[#This Row],[Responsible Agency]],Organization_t[],3,0),"")</f>
        <v>Yadu Shresk
Emergency Project Coordinator
campro.mmr@lwfdws.org</v>
      </c>
      <c r="AI111" s="355">
        <f ca="1">IF((SUMIFS(Data_Shelter_t[Coverage],Data_Shelter_t[Pcode],Camp_List[[#This Row],[P_Code]]))&gt;1,1,SUMIFS(Data_Shelter_t[Coverage],Data_Shelter_t[Pcode],Camp_List[[#This Row],[P_Code]]))</f>
        <v>1</v>
      </c>
      <c r="BL111" s="21"/>
      <c r="BM111" s="21"/>
      <c r="BO111" s="81"/>
      <c r="BP111" s="81"/>
    </row>
    <row r="112" spans="1:68" x14ac:dyDescent="0.25">
      <c r="A112" s="452" t="s">
        <v>358</v>
      </c>
      <c r="B112" s="452" t="s">
        <v>7</v>
      </c>
      <c r="C112" s="452" t="s">
        <v>361</v>
      </c>
      <c r="D112" s="452" t="s">
        <v>19</v>
      </c>
      <c r="E112" s="452" t="s">
        <v>623</v>
      </c>
      <c r="F112" s="452" t="s">
        <v>19</v>
      </c>
      <c r="G112" s="452" t="s">
        <v>423</v>
      </c>
      <c r="H112" s="452" t="s">
        <v>523</v>
      </c>
      <c r="I112" s="452" t="s">
        <v>576</v>
      </c>
      <c r="J112" s="452" t="s">
        <v>577</v>
      </c>
      <c r="K112" s="452" t="s">
        <v>578</v>
      </c>
      <c r="L112" s="452" t="s">
        <v>659</v>
      </c>
      <c r="M112" s="452" t="s">
        <v>661</v>
      </c>
      <c r="N112" s="87">
        <v>92.887277999999995</v>
      </c>
      <c r="O112" s="87">
        <v>20.151471999999998</v>
      </c>
      <c r="P112" s="452"/>
      <c r="Q112" s="331">
        <v>249</v>
      </c>
      <c r="R112" s="331">
        <v>1282</v>
      </c>
      <c r="S112" s="332">
        <v>5.1485943775100402</v>
      </c>
      <c r="T112" s="452" t="s">
        <v>352</v>
      </c>
      <c r="U112" s="452" t="s">
        <v>857</v>
      </c>
      <c r="V112" s="452" t="s">
        <v>22</v>
      </c>
      <c r="W112" s="460"/>
      <c r="X112" s="452"/>
      <c r="Y112" s="452" t="s">
        <v>7</v>
      </c>
      <c r="Z112" s="452" t="s">
        <v>789</v>
      </c>
      <c r="AA112" s="452" t="str">
        <f>CONCATENATE(Camp_List[[#This Row],[Ethnicity]],"-",Camp_List[[#This Row],[Religion]])</f>
        <v>Rakhine-Buddhist</v>
      </c>
      <c r="AB112" s="452" t="s">
        <v>688</v>
      </c>
      <c r="AC112" s="452" t="s">
        <v>288</v>
      </c>
      <c r="AD112" s="452" t="s">
        <v>927</v>
      </c>
      <c r="AE112" s="452" t="s">
        <v>928</v>
      </c>
      <c r="AF112" s="333">
        <v>42088</v>
      </c>
      <c r="AG112" s="458"/>
      <c r="AH112" s="21" t="str">
        <f>IFERROR(VLOOKUP(Camp_List[[#This Row],[Responsible Agency]],Organization_t[],3,0),"")</f>
        <v>Richard Warren</v>
      </c>
      <c r="AI112" s="355">
        <f ca="1">IF((SUMIFS(Data_Shelter_t[Coverage],Data_Shelter_t[Pcode],Camp_List[[#This Row],[P_Code]]))&gt;1,1,SUMIFS(Data_Shelter_t[Coverage],Data_Shelter_t[Pcode],Camp_List[[#This Row],[P_Code]]))</f>
        <v>1</v>
      </c>
      <c r="BL112" s="21"/>
      <c r="BM112" s="21"/>
      <c r="BO112" s="81"/>
      <c r="BP112" s="81"/>
    </row>
    <row r="113" spans="1:68" x14ac:dyDescent="0.25">
      <c r="A113" s="452" t="s">
        <v>358</v>
      </c>
      <c r="B113" s="452" t="s">
        <v>7</v>
      </c>
      <c r="C113" s="452" t="s">
        <v>361</v>
      </c>
      <c r="D113" s="452" t="s">
        <v>19</v>
      </c>
      <c r="E113" s="452" t="s">
        <v>623</v>
      </c>
      <c r="F113" s="452" t="s">
        <v>19</v>
      </c>
      <c r="G113" s="452" t="s">
        <v>423</v>
      </c>
      <c r="H113" s="452" t="s">
        <v>523</v>
      </c>
      <c r="I113" s="452" t="s">
        <v>576</v>
      </c>
      <c r="J113" s="452" t="s">
        <v>577</v>
      </c>
      <c r="K113" s="452" t="s">
        <v>578</v>
      </c>
      <c r="L113" s="452" t="s">
        <v>660</v>
      </c>
      <c r="M113" s="452" t="s">
        <v>662</v>
      </c>
      <c r="N113" s="87">
        <v>92.887277999999995</v>
      </c>
      <c r="O113" s="87">
        <v>20.151471999999998</v>
      </c>
      <c r="P113" s="452"/>
      <c r="Q113" s="331">
        <v>418</v>
      </c>
      <c r="R113" s="331">
        <v>2200</v>
      </c>
      <c r="S113" s="332">
        <v>5.2631578947368425</v>
      </c>
      <c r="T113" s="452" t="s">
        <v>352</v>
      </c>
      <c r="U113" s="452" t="s">
        <v>857</v>
      </c>
      <c r="V113" s="452" t="s">
        <v>22</v>
      </c>
      <c r="W113" s="460"/>
      <c r="X113" s="452"/>
      <c r="Y113" s="452" t="s">
        <v>7</v>
      </c>
      <c r="Z113" s="452" t="s">
        <v>789</v>
      </c>
      <c r="AA113" s="452" t="str">
        <f>CONCATENATE(Camp_List[[#This Row],[Ethnicity]],"-",Camp_List[[#This Row],[Religion]])</f>
        <v>Rakhine-Buddhist</v>
      </c>
      <c r="AB113" s="452" t="s">
        <v>688</v>
      </c>
      <c r="AC113" s="452" t="s">
        <v>288</v>
      </c>
      <c r="AD113" s="452" t="s">
        <v>927</v>
      </c>
      <c r="AE113" s="452" t="s">
        <v>928</v>
      </c>
      <c r="AF113" s="333">
        <v>42081</v>
      </c>
      <c r="AG113" s="458"/>
      <c r="AH113" s="21" t="str">
        <f>IFERROR(VLOOKUP(Camp_List[[#This Row],[Responsible Agency]],Organization_t[],3,0),"")</f>
        <v>Richard Warren</v>
      </c>
      <c r="AI113" s="355">
        <f ca="1">IF((SUMIFS(Data_Shelter_t[Coverage],Data_Shelter_t[Pcode],Camp_List[[#This Row],[P_Code]]))&gt;1,1,SUMIFS(Data_Shelter_t[Coverage],Data_Shelter_t[Pcode],Camp_List[[#This Row],[P_Code]]))</f>
        <v>1</v>
      </c>
      <c r="BL113" s="21"/>
      <c r="BM113" s="21"/>
      <c r="BO113" s="81"/>
      <c r="BP113" s="81"/>
    </row>
    <row r="114" spans="1:68" x14ac:dyDescent="0.25">
      <c r="A114" s="452" t="s">
        <v>358</v>
      </c>
      <c r="B114" s="452" t="s">
        <v>7</v>
      </c>
      <c r="C114" s="452" t="s">
        <v>361</v>
      </c>
      <c r="D114" s="452" t="s">
        <v>19</v>
      </c>
      <c r="E114" s="452" t="s">
        <v>623</v>
      </c>
      <c r="F114" s="452" t="s">
        <v>19</v>
      </c>
      <c r="G114" s="452" t="s">
        <v>423</v>
      </c>
      <c r="H114" s="452" t="s">
        <v>425</v>
      </c>
      <c r="I114" s="452" t="s">
        <v>424</v>
      </c>
      <c r="J114" s="452" t="s">
        <v>67</v>
      </c>
      <c r="K114" s="452">
        <v>196154</v>
      </c>
      <c r="L114" s="452" t="s">
        <v>67</v>
      </c>
      <c r="M114" s="452" t="s">
        <v>156</v>
      </c>
      <c r="N114" s="87">
        <v>92.792479999999998</v>
      </c>
      <c r="O114" s="87">
        <v>20.202525000000001</v>
      </c>
      <c r="P114" s="452"/>
      <c r="Q114" s="331">
        <v>2436</v>
      </c>
      <c r="R114" s="331">
        <v>12178</v>
      </c>
      <c r="S114" s="332">
        <v>4.9991789819376029</v>
      </c>
      <c r="T114" s="452" t="s">
        <v>352</v>
      </c>
      <c r="U114" s="452" t="s">
        <v>786</v>
      </c>
      <c r="V114" s="452" t="s">
        <v>22</v>
      </c>
      <c r="W114" s="460"/>
      <c r="X114" s="452"/>
      <c r="Y114" s="452" t="s">
        <v>805</v>
      </c>
      <c r="Z114" s="452" t="s">
        <v>680</v>
      </c>
      <c r="AA114" s="452" t="str">
        <f>CONCATENATE(Camp_List[[#This Row],[Ethnicity]],"-",Camp_List[[#This Row],[Religion]])</f>
        <v xml:space="preserve"> -Muslim</v>
      </c>
      <c r="AB114" s="452" t="s">
        <v>687</v>
      </c>
      <c r="AC114" s="452" t="s">
        <v>291</v>
      </c>
      <c r="AD114" s="452" t="s">
        <v>927</v>
      </c>
      <c r="AE114" s="452" t="s">
        <v>928</v>
      </c>
      <c r="AF114" s="333">
        <v>42102</v>
      </c>
      <c r="AG114" s="452" t="s">
        <v>685</v>
      </c>
      <c r="AH114" s="21" t="str">
        <f>IFERROR(VLOOKUP(Camp_List[[#This Row],[Responsible Agency]],Organization_t[],3,0),"")</f>
        <v>Veronica Costarelli
CCCM Project Coordinator
Veronica.Costarelli@drcmm.org</v>
      </c>
      <c r="AI114" s="355">
        <f ca="1">IF((SUMIFS(Data_Shelter_t[Coverage],Data_Shelter_t[Pcode],Camp_List[[#This Row],[P_Code]]))&gt;1,1,SUMIFS(Data_Shelter_t[Coverage],Data_Shelter_t[Pcode],Camp_List[[#This Row],[P_Code]]))</f>
        <v>1</v>
      </c>
      <c r="BL114" s="21"/>
      <c r="BM114" s="21"/>
      <c r="BO114" s="81"/>
      <c r="BP114" s="81"/>
    </row>
    <row r="115" spans="1:68" x14ac:dyDescent="0.25">
      <c r="A115" s="452" t="s">
        <v>358</v>
      </c>
      <c r="B115" s="452" t="s">
        <v>7</v>
      </c>
      <c r="C115" s="452" t="s">
        <v>361</v>
      </c>
      <c r="D115" s="452" t="s">
        <v>19</v>
      </c>
      <c r="E115" s="452" t="s">
        <v>623</v>
      </c>
      <c r="F115" s="452" t="s">
        <v>19</v>
      </c>
      <c r="G115" s="452" t="s">
        <v>423</v>
      </c>
      <c r="H115" s="452" t="s">
        <v>433</v>
      </c>
      <c r="I115" s="452" t="s">
        <v>576</v>
      </c>
      <c r="J115" s="452"/>
      <c r="K115" s="452" t="s">
        <v>432</v>
      </c>
      <c r="L115" s="452" t="s">
        <v>78</v>
      </c>
      <c r="M115" s="452" t="s">
        <v>167</v>
      </c>
      <c r="N115" s="87">
        <v>92.880319999999998</v>
      </c>
      <c r="O115" s="87">
        <v>20.148584</v>
      </c>
      <c r="P115" s="452"/>
      <c r="Q115" s="331">
        <v>72</v>
      </c>
      <c r="R115" s="331">
        <v>462</v>
      </c>
      <c r="S115" s="332">
        <v>6.416666666666667</v>
      </c>
      <c r="T115" s="452" t="s">
        <v>352</v>
      </c>
      <c r="U115" s="452" t="s">
        <v>786</v>
      </c>
      <c r="V115" s="452" t="s">
        <v>22</v>
      </c>
      <c r="W115" s="460"/>
      <c r="X115" s="452"/>
      <c r="Y115" s="452" t="s">
        <v>681</v>
      </c>
      <c r="Z115" s="452" t="s">
        <v>789</v>
      </c>
      <c r="AA115" s="452" t="str">
        <f>CONCATENATE(Camp_List[[#This Row],[Ethnicity]],"-",Camp_List[[#This Row],[Religion]])</f>
        <v>Maramargyi-Buddhist</v>
      </c>
      <c r="AB115" s="452" t="s">
        <v>687</v>
      </c>
      <c r="AC115" s="452" t="s">
        <v>643</v>
      </c>
      <c r="AD115" s="452" t="s">
        <v>927</v>
      </c>
      <c r="AE115" s="452" t="s">
        <v>928</v>
      </c>
      <c r="AF115" s="333">
        <v>42083</v>
      </c>
      <c r="AG115" s="452"/>
      <c r="AH115" s="87" t="str">
        <f>IFERROR(VLOOKUP(Camp_List[[#This Row],[Responsible Agency]],Organization_t[],3,0),"")</f>
        <v>Yadu Shresk
Emergency Project Coordinator
campro.mmr@lwfdws.org</v>
      </c>
      <c r="AI115" s="355">
        <f ca="1">IF((SUMIFS(Data_Shelter_t[Coverage],Data_Shelter_t[Pcode],Camp_List[[#This Row],[P_Code]]))&gt;1,1,SUMIFS(Data_Shelter_t[Coverage],Data_Shelter_t[Pcode],Camp_List[[#This Row],[P_Code]]))</f>
        <v>1</v>
      </c>
      <c r="BL115" s="21"/>
      <c r="BM115" s="21"/>
      <c r="BO115" s="81"/>
      <c r="BP115" s="81"/>
    </row>
    <row r="116" spans="1:68" x14ac:dyDescent="0.25">
      <c r="A116" s="452" t="s">
        <v>358</v>
      </c>
      <c r="B116" s="452" t="s">
        <v>7</v>
      </c>
      <c r="C116" s="452" t="s">
        <v>361</v>
      </c>
      <c r="D116" s="452" t="s">
        <v>19</v>
      </c>
      <c r="E116" s="452" t="s">
        <v>623</v>
      </c>
      <c r="F116" s="452" t="s">
        <v>19</v>
      </c>
      <c r="G116" s="452" t="s">
        <v>423</v>
      </c>
      <c r="H116" s="452" t="s">
        <v>433</v>
      </c>
      <c r="I116" s="452" t="s">
        <v>576</v>
      </c>
      <c r="J116" s="452"/>
      <c r="K116" s="452" t="s">
        <v>432</v>
      </c>
      <c r="L116" s="452" t="s">
        <v>248</v>
      </c>
      <c r="M116" s="452" t="s">
        <v>285</v>
      </c>
      <c r="N116" s="87">
        <v>92.879138999999995</v>
      </c>
      <c r="O116" s="87">
        <v>20.155805999999998</v>
      </c>
      <c r="P116" s="452"/>
      <c r="Q116" s="331">
        <v>151</v>
      </c>
      <c r="R116" s="331">
        <v>640</v>
      </c>
      <c r="S116" s="332">
        <v>4.2384105960264904</v>
      </c>
      <c r="T116" s="452" t="s">
        <v>352</v>
      </c>
      <c r="U116" s="452" t="s">
        <v>786</v>
      </c>
      <c r="V116" s="452" t="s">
        <v>22</v>
      </c>
      <c r="W116" s="460"/>
      <c r="X116" s="452"/>
      <c r="Y116" s="452" t="s">
        <v>7</v>
      </c>
      <c r="Z116" s="452" t="s">
        <v>789</v>
      </c>
      <c r="AA116" s="452" t="str">
        <f>CONCATENATE(Camp_List[[#This Row],[Ethnicity]],"-",Camp_List[[#This Row],[Religion]])</f>
        <v>Rakhine-Buddhist</v>
      </c>
      <c r="AB116" s="452" t="s">
        <v>687</v>
      </c>
      <c r="AC116" s="452" t="s">
        <v>643</v>
      </c>
      <c r="AD116" s="452" t="s">
        <v>927</v>
      </c>
      <c r="AE116" s="452" t="s">
        <v>928</v>
      </c>
      <c r="AF116" s="333">
        <v>42083</v>
      </c>
      <c r="AG116" s="452"/>
      <c r="AH116" s="87" t="str">
        <f>IFERROR(VLOOKUP(Camp_List[[#This Row],[Responsible Agency]],Organization_t[],3,0),"")</f>
        <v>Yadu Shresk
Emergency Project Coordinator
campro.mmr@lwfdws.org</v>
      </c>
      <c r="AI116" s="355">
        <f ca="1">IF((SUMIFS(Data_Shelter_t[Coverage],Data_Shelter_t[Pcode],Camp_List[[#This Row],[P_Code]]))&gt;1,1,SUMIFS(Data_Shelter_t[Coverage],Data_Shelter_t[Pcode],Camp_List[[#This Row],[P_Code]]))</f>
        <v>1</v>
      </c>
      <c r="BL116" s="21"/>
      <c r="BM116" s="21"/>
      <c r="BO116" s="81"/>
      <c r="BP116" s="81"/>
    </row>
    <row r="117" spans="1:68" x14ac:dyDescent="0.25">
      <c r="A117" s="452" t="s">
        <v>358</v>
      </c>
      <c r="B117" s="452" t="s">
        <v>7</v>
      </c>
      <c r="C117" s="452" t="s">
        <v>361</v>
      </c>
      <c r="D117" s="452" t="s">
        <v>19</v>
      </c>
      <c r="E117" s="452" t="s">
        <v>623</v>
      </c>
      <c r="F117" s="452" t="s">
        <v>19</v>
      </c>
      <c r="G117" s="452" t="s">
        <v>423</v>
      </c>
      <c r="H117" s="452" t="s">
        <v>427</v>
      </c>
      <c r="I117" s="452" t="s">
        <v>426</v>
      </c>
      <c r="J117" s="452" t="s">
        <v>505</v>
      </c>
      <c r="K117" s="452">
        <v>196211</v>
      </c>
      <c r="L117" s="452" t="s">
        <v>68</v>
      </c>
      <c r="M117" s="452" t="s">
        <v>157</v>
      </c>
      <c r="N117" s="87">
        <v>92.839416999999997</v>
      </c>
      <c r="O117" s="87">
        <v>20.1585</v>
      </c>
      <c r="P117" s="452"/>
      <c r="Q117" s="331">
        <v>2145</v>
      </c>
      <c r="R117" s="331">
        <v>11663</v>
      </c>
      <c r="S117" s="332">
        <v>5.4372960372960373</v>
      </c>
      <c r="T117" s="452" t="s">
        <v>352</v>
      </c>
      <c r="U117" s="452" t="s">
        <v>786</v>
      </c>
      <c r="V117" s="452" t="s">
        <v>23</v>
      </c>
      <c r="W117" s="460"/>
      <c r="X117" s="452"/>
      <c r="Y117" s="452" t="s">
        <v>805</v>
      </c>
      <c r="Z117" s="452" t="s">
        <v>680</v>
      </c>
      <c r="AA117" s="452" t="str">
        <f>CONCATENATE(Camp_List[[#This Row],[Ethnicity]],"-",Camp_List[[#This Row],[Religion]])</f>
        <v xml:space="preserve"> -Muslim</v>
      </c>
      <c r="AB117" s="452" t="s">
        <v>687</v>
      </c>
      <c r="AC117" s="452" t="s">
        <v>643</v>
      </c>
      <c r="AD117" s="452" t="s">
        <v>927</v>
      </c>
      <c r="AE117" s="452" t="s">
        <v>928</v>
      </c>
      <c r="AF117" s="333">
        <v>42113</v>
      </c>
      <c r="AG117" s="458"/>
      <c r="AH117" s="21" t="str">
        <f>IFERROR(VLOOKUP(Camp_List[[#This Row],[Responsible Agency]],Organization_t[],3,0),"")</f>
        <v>Yadu Shresk
Emergency Project Coordinator
campro.mmr@lwfdws.org</v>
      </c>
      <c r="AI117" s="355">
        <f>IF((SUMIFS(Data_Shelter_t[Coverage],Data_Shelter_t[Pcode],Camp_List[[#This Row],[P_Code]]))&gt;1,1,SUMIFS(Data_Shelter_t[Coverage],Data_Shelter_t[Pcode],Camp_List[[#This Row],[P_Code]]))</f>
        <v>0</v>
      </c>
      <c r="BL117" s="21"/>
      <c r="BM117" s="21"/>
      <c r="BO117" s="81"/>
      <c r="BP117" s="81"/>
    </row>
    <row r="118" spans="1:68" hidden="1" x14ac:dyDescent="0.25">
      <c r="A118" s="452" t="s">
        <v>359</v>
      </c>
      <c r="B118" s="452" t="s">
        <v>7</v>
      </c>
      <c r="C118" s="452" t="s">
        <v>361</v>
      </c>
      <c r="D118" s="452" t="s">
        <v>19</v>
      </c>
      <c r="E118" s="452" t="s">
        <v>623</v>
      </c>
      <c r="F118" s="452" t="s">
        <v>19</v>
      </c>
      <c r="G118" s="452" t="s">
        <v>423</v>
      </c>
      <c r="H118" s="452" t="s">
        <v>427</v>
      </c>
      <c r="I118" s="452" t="s">
        <v>426</v>
      </c>
      <c r="J118" s="452" t="s">
        <v>505</v>
      </c>
      <c r="K118" s="452">
        <v>196211</v>
      </c>
      <c r="L118" s="452" t="s">
        <v>565</v>
      </c>
      <c r="M118" s="452" t="s">
        <v>566</v>
      </c>
      <c r="N118" s="87">
        <v>92.839166000000006</v>
      </c>
      <c r="O118" s="87">
        <v>20.157311</v>
      </c>
      <c r="P118" s="452"/>
      <c r="Q118" s="331"/>
      <c r="R118" s="331"/>
      <c r="S118" s="332"/>
      <c r="T118" s="452" t="s">
        <v>352</v>
      </c>
      <c r="U118" s="452" t="s">
        <v>786</v>
      </c>
      <c r="V118" s="452" t="s">
        <v>854</v>
      </c>
      <c r="W118" s="460"/>
      <c r="X118" s="452"/>
      <c r="Y118" s="452" t="s">
        <v>805</v>
      </c>
      <c r="Z118" s="452"/>
      <c r="AA118" s="452"/>
      <c r="AB118" s="452"/>
      <c r="AC118" s="452"/>
      <c r="AD118" s="452"/>
      <c r="AE118" s="452"/>
      <c r="AF118" s="333">
        <v>42278</v>
      </c>
      <c r="AG118" s="452" t="s">
        <v>917</v>
      </c>
      <c r="AH118" s="87" t="str">
        <f>IFERROR(VLOOKUP(Camp_List[[#This Row],[Responsible Agency]],Organization_t[],3,0),"")</f>
        <v/>
      </c>
      <c r="AI118" s="355">
        <f>IF((SUMIFS(Data_Shelter_t[Coverage],Data_Shelter_t[Pcode],Camp_List[[#This Row],[P_Code]]))&gt;1,1,SUMIFS(Data_Shelter_t[Coverage],Data_Shelter_t[Pcode],Camp_List[[#This Row],[P_Code]]))</f>
        <v>0</v>
      </c>
      <c r="BL118" s="21"/>
      <c r="BM118" s="21"/>
      <c r="BO118" s="81"/>
      <c r="BP118" s="81"/>
    </row>
    <row r="119" spans="1:68" ht="30" x14ac:dyDescent="0.25">
      <c r="A119" s="452" t="s">
        <v>358</v>
      </c>
      <c r="B119" s="452" t="s">
        <v>7</v>
      </c>
      <c r="C119" s="452" t="s">
        <v>361</v>
      </c>
      <c r="D119" s="452" t="s">
        <v>19</v>
      </c>
      <c r="E119" s="452" t="s">
        <v>623</v>
      </c>
      <c r="F119" s="453" t="s">
        <v>19</v>
      </c>
      <c r="G119" s="452" t="s">
        <v>423</v>
      </c>
      <c r="H119" s="452" t="s">
        <v>427</v>
      </c>
      <c r="I119" s="452" t="s">
        <v>426</v>
      </c>
      <c r="J119" s="453" t="s">
        <v>508</v>
      </c>
      <c r="K119" s="452">
        <v>196186</v>
      </c>
      <c r="L119" s="453" t="s">
        <v>70</v>
      </c>
      <c r="M119" s="459" t="s">
        <v>159</v>
      </c>
      <c r="N119" s="87">
        <v>92.831879000000001</v>
      </c>
      <c r="O119" s="87">
        <v>20.179939999999998</v>
      </c>
      <c r="P119" s="463"/>
      <c r="Q119" s="407">
        <v>984</v>
      </c>
      <c r="R119" s="407">
        <v>5656</v>
      </c>
      <c r="S119" s="335">
        <v>5.7479674796747968</v>
      </c>
      <c r="T119" s="452" t="s">
        <v>352</v>
      </c>
      <c r="U119" s="452" t="s">
        <v>786</v>
      </c>
      <c r="V119" s="452" t="s">
        <v>22</v>
      </c>
      <c r="W119" s="460"/>
      <c r="X119" s="452"/>
      <c r="Y119" s="452" t="s">
        <v>805</v>
      </c>
      <c r="Z119" s="452" t="s">
        <v>680</v>
      </c>
      <c r="AA119" s="452" t="str">
        <f>CONCATENATE(Camp_List[[#This Row],[Ethnicity]],"-",Camp_List[[#This Row],[Religion]])</f>
        <v xml:space="preserve"> -Muslim</v>
      </c>
      <c r="AB119" s="452" t="s">
        <v>688</v>
      </c>
      <c r="AC119" s="452" t="s">
        <v>288</v>
      </c>
      <c r="AD119" s="452" t="s">
        <v>927</v>
      </c>
      <c r="AE119" s="452" t="s">
        <v>928</v>
      </c>
      <c r="AF119" s="333">
        <v>42171</v>
      </c>
      <c r="AG119" s="452"/>
      <c r="AH119" s="334" t="str">
        <f>IFERROR(VLOOKUP(Camp_List[[#This Row],[Responsible Agency]],Organization_t[],3,0),"")</f>
        <v>Richard Warren</v>
      </c>
      <c r="AI119" s="355">
        <f ca="1">IF((SUMIFS(Data_Shelter_t[Coverage],Data_Shelter_t[Pcode],Camp_List[[#This Row],[P_Code]]))&gt;1,1,SUMIFS(Data_Shelter_t[Coverage],Data_Shelter_t[Pcode],Camp_List[[#This Row],[P_Code]]))</f>
        <v>1</v>
      </c>
      <c r="BL119" s="21"/>
      <c r="BM119" s="21"/>
      <c r="BO119" s="81"/>
      <c r="BP119" s="81"/>
    </row>
    <row r="120" spans="1:68" ht="16.5" customHeight="1" x14ac:dyDescent="0.25">
      <c r="A120" s="452" t="s">
        <v>358</v>
      </c>
      <c r="B120" s="452" t="s">
        <v>7</v>
      </c>
      <c r="C120" s="452" t="s">
        <v>361</v>
      </c>
      <c r="D120" s="452" t="s">
        <v>19</v>
      </c>
      <c r="E120" s="452" t="s">
        <v>623</v>
      </c>
      <c r="F120" s="452" t="s">
        <v>19</v>
      </c>
      <c r="G120" s="452" t="s">
        <v>423</v>
      </c>
      <c r="H120" s="452" t="s">
        <v>427</v>
      </c>
      <c r="I120" s="452" t="s">
        <v>426</v>
      </c>
      <c r="J120" s="452" t="s">
        <v>508</v>
      </c>
      <c r="K120" s="452">
        <v>196186</v>
      </c>
      <c r="L120" s="452" t="s">
        <v>556</v>
      </c>
      <c r="M120" s="452" t="s">
        <v>283</v>
      </c>
      <c r="N120" s="87">
        <v>92.842230000000001</v>
      </c>
      <c r="O120" s="87">
        <v>20.181742</v>
      </c>
      <c r="P120" s="452"/>
      <c r="Q120" s="331">
        <v>496</v>
      </c>
      <c r="R120" s="331">
        <v>2942</v>
      </c>
      <c r="S120" s="332">
        <v>5.931451612903226</v>
      </c>
      <c r="T120" s="452" t="s">
        <v>352</v>
      </c>
      <c r="U120" s="452" t="s">
        <v>786</v>
      </c>
      <c r="V120" s="452" t="s">
        <v>854</v>
      </c>
      <c r="W120" s="460"/>
      <c r="X120" s="452"/>
      <c r="Y120" s="452" t="s">
        <v>805</v>
      </c>
      <c r="Z120" s="452" t="s">
        <v>680</v>
      </c>
      <c r="AA120" s="452" t="str">
        <f>CONCATENATE(Camp_List[[#This Row],[Ethnicity]],"-",Camp_List[[#This Row],[Religion]])</f>
        <v xml:space="preserve"> -Muslim</v>
      </c>
      <c r="AB120" s="452" t="s">
        <v>688</v>
      </c>
      <c r="AC120" s="452" t="s">
        <v>288</v>
      </c>
      <c r="AD120" s="452" t="s">
        <v>515</v>
      </c>
      <c r="AE120" s="452" t="s">
        <v>531</v>
      </c>
      <c r="AF120" s="333">
        <v>41872</v>
      </c>
      <c r="AG120" s="452"/>
      <c r="AH120" s="87" t="str">
        <f>IFERROR(VLOOKUP(Camp_List[[#This Row],[Responsible Agency]],Organization_t[],3,0),"")</f>
        <v>Richard Warren</v>
      </c>
      <c r="AI120" s="355">
        <f>IF((SUMIFS(Data_Shelter_t[Coverage],Data_Shelter_t[Pcode],Camp_List[[#This Row],[P_Code]]))&gt;1,1,SUMIFS(Data_Shelter_t[Coverage],Data_Shelter_t[Pcode],Camp_List[[#This Row],[P_Code]]))</f>
        <v>0</v>
      </c>
      <c r="BL120" s="21"/>
      <c r="BM120" s="21"/>
      <c r="BO120" s="81"/>
      <c r="BP120" s="81"/>
    </row>
    <row r="121" spans="1:68" x14ac:dyDescent="0.25">
      <c r="A121" s="452" t="s">
        <v>358</v>
      </c>
      <c r="B121" s="452" t="s">
        <v>7</v>
      </c>
      <c r="C121" s="452" t="s">
        <v>361</v>
      </c>
      <c r="D121" s="452" t="s">
        <v>19</v>
      </c>
      <c r="E121" s="452" t="s">
        <v>623</v>
      </c>
      <c r="F121" s="452" t="s">
        <v>19</v>
      </c>
      <c r="G121" s="452" t="s">
        <v>423</v>
      </c>
      <c r="H121" s="452" t="s">
        <v>80</v>
      </c>
      <c r="I121" s="452" t="s">
        <v>532</v>
      </c>
      <c r="J121" s="454" t="s">
        <v>80</v>
      </c>
      <c r="K121" s="452">
        <v>196129</v>
      </c>
      <c r="L121" s="452" t="s">
        <v>80</v>
      </c>
      <c r="M121" s="452" t="s">
        <v>169</v>
      </c>
      <c r="N121" s="87">
        <v>92.836860999999999</v>
      </c>
      <c r="O121" s="87">
        <v>20.226865</v>
      </c>
      <c r="P121" s="452"/>
      <c r="Q121" s="331">
        <v>7</v>
      </c>
      <c r="R121" s="331">
        <v>27</v>
      </c>
      <c r="S121" s="332">
        <v>3.8571428571428572</v>
      </c>
      <c r="T121" s="452" t="s">
        <v>352</v>
      </c>
      <c r="U121" s="452" t="s">
        <v>786</v>
      </c>
      <c r="V121" s="452" t="s">
        <v>854</v>
      </c>
      <c r="W121" s="460"/>
      <c r="X121" s="452"/>
      <c r="Y121" s="452" t="s">
        <v>7</v>
      </c>
      <c r="Z121" s="452" t="s">
        <v>789</v>
      </c>
      <c r="AA121" s="452" t="str">
        <f>CONCATENATE(Camp_List[[#This Row],[Ethnicity]],"-",Camp_List[[#This Row],[Religion]])</f>
        <v>Rakhine-Buddhist</v>
      </c>
      <c r="AB121" s="452" t="s">
        <v>688</v>
      </c>
      <c r="AC121" s="452" t="s">
        <v>288</v>
      </c>
      <c r="AD121" s="452" t="s">
        <v>515</v>
      </c>
      <c r="AE121" s="452" t="s">
        <v>531</v>
      </c>
      <c r="AF121" s="333">
        <v>41872</v>
      </c>
      <c r="AG121" s="452"/>
      <c r="AH121" s="87" t="str">
        <f>IFERROR(VLOOKUP(Camp_List[[#This Row],[Responsible Agency]],Organization_t[],3,0),"")</f>
        <v>Richard Warren</v>
      </c>
      <c r="AI121" s="355">
        <f>IF((SUMIFS(Data_Shelter_t[Coverage],Data_Shelter_t[Pcode],Camp_List[[#This Row],[P_Code]]))&gt;1,1,SUMIFS(Data_Shelter_t[Coverage],Data_Shelter_t[Pcode],Camp_List[[#This Row],[P_Code]]))</f>
        <v>0</v>
      </c>
      <c r="BL121" s="21"/>
      <c r="BM121" s="21"/>
      <c r="BO121" s="81"/>
      <c r="BP121" s="81"/>
    </row>
    <row r="122" spans="1:68" x14ac:dyDescent="0.25">
      <c r="Q122" s="21"/>
      <c r="R122" s="21"/>
      <c r="S122" s="21"/>
    </row>
    <row r="123" spans="1:68" x14ac:dyDescent="0.25">
      <c r="Q123" s="21"/>
      <c r="R123" s="21"/>
      <c r="S123" s="21"/>
    </row>
    <row r="124" spans="1:68" x14ac:dyDescent="0.25">
      <c r="Q124" s="21"/>
      <c r="R124" s="21"/>
      <c r="S124" s="21"/>
    </row>
    <row r="125" spans="1:68" x14ac:dyDescent="0.25">
      <c r="Q125" s="21"/>
      <c r="R125" s="21"/>
      <c r="S125" s="21"/>
    </row>
  </sheetData>
  <sortState ref="A56:AJ88">
    <sortCondition ref="G1:G1048576"/>
    <sortCondition ref="L1:L1048576"/>
  </sortState>
  <mergeCells count="1">
    <mergeCell ref="A3:B3"/>
  </mergeCells>
  <conditionalFormatting sqref="A5:A121">
    <cfRule type="cellIs" dxfId="879" priority="5" operator="equal">
      <formula>"close"</formula>
    </cfRule>
  </conditionalFormatting>
  <dataValidations count="3">
    <dataValidation type="list" allowBlank="1" showInputMessage="1" showErrorMessage="1" sqref="AC5:AC121">
      <formula1>Organization_Code</formula1>
    </dataValidation>
    <dataValidation type="list" allowBlank="1" showInputMessage="1" showErrorMessage="1" sqref="V5:V121">
      <formula1>Type_of_Accomodation</formula1>
    </dataValidation>
    <dataValidation type="list" allowBlank="1" showInputMessage="1" showErrorMessage="1" sqref="U5:U121">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77"/>
  <sheetViews>
    <sheetView zoomScale="80" zoomScaleNormal="80" workbookViewId="0">
      <selection activeCell="AE38" sqref="AE38"/>
    </sheetView>
  </sheetViews>
  <sheetFormatPr defaultColWidth="9.140625" defaultRowHeight="15" x14ac:dyDescent="0.25"/>
  <cols>
    <col min="1" max="1" width="11.28515625" style="102" customWidth="1"/>
    <col min="2" max="2" width="11.85546875" style="102" customWidth="1"/>
    <col min="3" max="3" width="20.7109375" style="102" bestFit="1" customWidth="1"/>
    <col min="4" max="4" width="19.42578125" style="102" customWidth="1"/>
    <col min="5" max="5" width="12.42578125" style="102" bestFit="1" customWidth="1"/>
    <col min="6" max="6" width="7.85546875" style="102" customWidth="1"/>
    <col min="7" max="7" width="11.5703125" style="28" customWidth="1"/>
    <col min="8" max="8" width="11.140625" customWidth="1"/>
    <col min="9" max="9" width="11.42578125" style="102" customWidth="1"/>
    <col min="10" max="10" width="14.42578125" style="367" bestFit="1" customWidth="1"/>
    <col min="11" max="11" width="15.7109375" style="367" customWidth="1"/>
    <col min="12" max="12" width="29.5703125" style="102" customWidth="1"/>
    <col min="13" max="13" width="16.7109375" style="102" customWidth="1"/>
    <col min="14" max="14" width="12.28515625" style="102" customWidth="1"/>
    <col min="15" max="15" width="14.85546875" style="102" customWidth="1"/>
    <col min="16" max="16" width="10" style="102" customWidth="1"/>
    <col min="17" max="17" width="5.5703125" style="102" customWidth="1"/>
    <col min="18" max="18" width="13.42578125" style="102" customWidth="1"/>
    <col min="19" max="19" width="8.85546875" style="102" customWidth="1"/>
    <col min="20" max="20" width="6.5703125" style="102" customWidth="1"/>
    <col min="21" max="21" width="12.28515625" style="102" customWidth="1"/>
    <col min="22" max="22" width="10" style="102" customWidth="1"/>
    <col min="23" max="23" width="5.5703125" style="102" customWidth="1"/>
    <col min="24" max="24" width="13.42578125" style="102" customWidth="1"/>
    <col min="25" max="25" width="10" style="102" customWidth="1"/>
    <col min="26" max="26" width="6.5703125" style="102" customWidth="1"/>
    <col min="27" max="27" width="13.42578125" style="102" customWidth="1"/>
    <col min="28" max="28" width="6" style="102" customWidth="1"/>
    <col min="29" max="29" width="5.5703125" style="102" customWidth="1"/>
    <col min="30" max="30" width="9.42578125" style="102" customWidth="1"/>
    <col min="31" max="31" width="11.5703125" style="102" customWidth="1"/>
    <col min="32" max="32" width="5.5703125" style="102" customWidth="1"/>
    <col min="33" max="33" width="13.42578125" style="102" customWidth="1"/>
    <col min="34" max="34" width="10" style="102" customWidth="1"/>
    <col min="35" max="35" width="6.5703125" style="102" customWidth="1"/>
    <col min="36" max="36" width="13.42578125" style="102" customWidth="1"/>
    <col min="37" max="37" width="6" style="102" customWidth="1"/>
    <col min="38" max="38" width="5.5703125" style="102" customWidth="1"/>
    <col min="39" max="39" width="9.42578125" style="102" customWidth="1"/>
    <col min="40" max="40" width="11.5703125" style="102" customWidth="1"/>
    <col min="41" max="41" width="6" style="102" customWidth="1"/>
    <col min="42" max="42" width="3.28515625" style="102" customWidth="1"/>
    <col min="43" max="43" width="9" style="102" customWidth="1"/>
    <col min="44" max="44" width="11.28515625" style="102" bestFit="1" customWidth="1"/>
    <col min="45" max="16384" width="9.140625" style="102"/>
  </cols>
  <sheetData>
    <row r="1" spans="1:44" x14ac:dyDescent="0.25">
      <c r="A1" s="373" t="s">
        <v>10</v>
      </c>
      <c r="B1" s="374" t="s">
        <v>1</v>
      </c>
      <c r="C1" s="374" t="s">
        <v>551</v>
      </c>
      <c r="D1" s="374" t="s">
        <v>582</v>
      </c>
      <c r="E1" s="375" t="s">
        <v>759</v>
      </c>
      <c r="F1" s="379" t="s">
        <v>758</v>
      </c>
      <c r="G1" s="380" t="s">
        <v>5</v>
      </c>
      <c r="H1" s="376" t="s">
        <v>763</v>
      </c>
      <c r="I1" s="177" t="s">
        <v>349</v>
      </c>
      <c r="J1" s="368" t="s">
        <v>918</v>
      </c>
      <c r="L1"/>
      <c r="M1"/>
      <c r="N1"/>
      <c r="O1"/>
      <c r="P1"/>
      <c r="Q1"/>
      <c r="R1"/>
      <c r="S1"/>
      <c r="T1"/>
      <c r="U1"/>
      <c r="V1"/>
      <c r="W1"/>
      <c r="X1"/>
      <c r="Y1"/>
      <c r="Z1"/>
      <c r="AA1"/>
      <c r="AB1"/>
    </row>
    <row r="2" spans="1:44" ht="15" customHeight="1" x14ac:dyDescent="0.25">
      <c r="A2" s="644" t="s">
        <v>7</v>
      </c>
      <c r="B2" s="645" t="s">
        <v>14</v>
      </c>
      <c r="C2" s="177" t="s">
        <v>40</v>
      </c>
      <c r="D2" s="474" t="str">
        <f ca="1">IFERROR(OFFSET(Camp_List[P_Code],MATCH(Data_Demography_t[[#This Row],[Camp]],Camp_List[Camp Name],0)-1,0,1,1),"")</f>
        <v>MMR012CMP016</v>
      </c>
      <c r="E2" s="646" t="s">
        <v>754</v>
      </c>
      <c r="F2" s="647" t="s">
        <v>752</v>
      </c>
      <c r="G2" s="381">
        <v>406</v>
      </c>
      <c r="H2" s="177">
        <f t="shared" ref="H2:H65" si="0">IF(F2="M",-G2,G2)</f>
        <v>-406</v>
      </c>
      <c r="I2" s="177" t="s">
        <v>643</v>
      </c>
      <c r="J2" s="649">
        <v>42100</v>
      </c>
      <c r="L2"/>
      <c r="M2"/>
      <c r="N2"/>
      <c r="O2"/>
      <c r="P2"/>
      <c r="Q2"/>
      <c r="R2"/>
      <c r="S2"/>
      <c r="T2"/>
      <c r="U2"/>
      <c r="V2"/>
      <c r="W2"/>
      <c r="X2"/>
      <c r="Y2"/>
      <c r="Z2"/>
      <c r="AA2"/>
      <c r="AB2"/>
    </row>
    <row r="3" spans="1:44" ht="15" customHeight="1" x14ac:dyDescent="0.25">
      <c r="A3" s="644" t="s">
        <v>7</v>
      </c>
      <c r="B3" s="645" t="s">
        <v>14</v>
      </c>
      <c r="C3" s="177" t="s">
        <v>40</v>
      </c>
      <c r="D3" s="474" t="str">
        <f ca="1">IFERROR(OFFSET(Camp_List[P_Code],MATCH(Data_Demography_t[[#This Row],[Camp]],Camp_List[Camp Name],0)-1,0,1,1),"")</f>
        <v>MMR012CMP016</v>
      </c>
      <c r="E3" s="646" t="s">
        <v>754</v>
      </c>
      <c r="F3" s="647" t="s">
        <v>753</v>
      </c>
      <c r="G3" s="381">
        <v>472</v>
      </c>
      <c r="H3" s="177">
        <f t="shared" si="0"/>
        <v>472</v>
      </c>
      <c r="I3" s="177" t="s">
        <v>643</v>
      </c>
      <c r="J3" s="649">
        <v>42100</v>
      </c>
      <c r="L3"/>
      <c r="M3"/>
      <c r="N3"/>
      <c r="O3"/>
      <c r="P3"/>
      <c r="Q3"/>
      <c r="R3"/>
      <c r="S3"/>
      <c r="T3"/>
      <c r="U3"/>
      <c r="V3"/>
      <c r="W3"/>
      <c r="X3"/>
      <c r="Y3"/>
      <c r="Z3"/>
      <c r="AA3"/>
      <c r="AB3"/>
    </row>
    <row r="4" spans="1:44" ht="15" customHeight="1" x14ac:dyDescent="0.25">
      <c r="A4" s="644" t="s">
        <v>7</v>
      </c>
      <c r="B4" s="645" t="s">
        <v>14</v>
      </c>
      <c r="C4" s="177" t="s">
        <v>40</v>
      </c>
      <c r="D4" s="474" t="str">
        <f ca="1">IFERROR(OFFSET(Camp_List[P_Code],MATCH(Data_Demography_t[[#This Row],[Camp]],Camp_List[Camp Name],0)-1,0,1,1),"")</f>
        <v>MMR012CMP016</v>
      </c>
      <c r="E4" s="646" t="s">
        <v>929</v>
      </c>
      <c r="F4" s="647" t="s">
        <v>752</v>
      </c>
      <c r="G4" s="381">
        <v>546</v>
      </c>
      <c r="H4" s="177">
        <f t="shared" si="0"/>
        <v>-546</v>
      </c>
      <c r="I4" s="177" t="s">
        <v>643</v>
      </c>
      <c r="J4" s="649">
        <v>42100</v>
      </c>
      <c r="L4" s="220" t="s">
        <v>550</v>
      </c>
      <c r="M4" s="220" t="s">
        <v>691</v>
      </c>
      <c r="N4" s="31"/>
      <c r="O4" s="662"/>
      <c r="P4" s="692"/>
      <c r="Q4" s="692"/>
      <c r="R4" s="692"/>
      <c r="S4" s="692"/>
      <c r="T4" s="692"/>
      <c r="U4" s="692"/>
      <c r="V4" s="692"/>
      <c r="W4" s="692"/>
      <c r="X4" s="692"/>
      <c r="Y4" s="692"/>
      <c r="Z4" s="692"/>
      <c r="AA4" s="692"/>
      <c r="AB4" s="692"/>
      <c r="AC4" s="692"/>
      <c r="AD4" s="692"/>
      <c r="AE4" s="217"/>
      <c r="AF4"/>
      <c r="AG4"/>
      <c r="AH4"/>
      <c r="AI4"/>
      <c r="AJ4"/>
      <c r="AK4"/>
      <c r="AL4"/>
      <c r="AM4"/>
      <c r="AN4"/>
      <c r="AO4"/>
      <c r="AP4"/>
      <c r="AQ4"/>
      <c r="AR4"/>
    </row>
    <row r="5" spans="1:44" ht="15" customHeight="1" x14ac:dyDescent="0.25">
      <c r="A5" s="644" t="s">
        <v>7</v>
      </c>
      <c r="B5" s="645" t="s">
        <v>14</v>
      </c>
      <c r="C5" s="177" t="s">
        <v>40</v>
      </c>
      <c r="D5" s="474" t="str">
        <f ca="1">IFERROR(OFFSET(Camp_List[P_Code],MATCH(Data_Demography_t[[#This Row],[Camp]],Camp_List[Camp Name],0)-1,0,1,1),"")</f>
        <v>MMR012CMP016</v>
      </c>
      <c r="E5" s="646" t="s">
        <v>929</v>
      </c>
      <c r="F5" s="647" t="s">
        <v>753</v>
      </c>
      <c r="G5" s="381">
        <v>495</v>
      </c>
      <c r="H5" s="177">
        <f t="shared" si="0"/>
        <v>495</v>
      </c>
      <c r="I5" s="177" t="s">
        <v>643</v>
      </c>
      <c r="J5" s="649">
        <v>42100</v>
      </c>
      <c r="L5" s="196"/>
      <c r="M5" s="203" t="s">
        <v>754</v>
      </c>
      <c r="N5" s="203"/>
      <c r="O5" s="695" t="s">
        <v>761</v>
      </c>
      <c r="P5" s="203" t="s">
        <v>679</v>
      </c>
      <c r="Q5" s="203"/>
      <c r="R5" s="695" t="s">
        <v>762</v>
      </c>
      <c r="S5" s="1" t="s">
        <v>929</v>
      </c>
      <c r="T5" s="1"/>
      <c r="U5" s="1" t="s">
        <v>939</v>
      </c>
      <c r="V5" s="1" t="s">
        <v>930</v>
      </c>
      <c r="W5" s="1"/>
      <c r="X5" s="1" t="s">
        <v>940</v>
      </c>
      <c r="Y5" s="1" t="s">
        <v>931</v>
      </c>
      <c r="Z5" s="1"/>
      <c r="AA5" s="1" t="s">
        <v>941</v>
      </c>
      <c r="AB5" s="1" t="s">
        <v>905</v>
      </c>
      <c r="AC5" s="1"/>
      <c r="AD5" s="1" t="s">
        <v>942</v>
      </c>
      <c r="AE5" s="695" t="s">
        <v>215</v>
      </c>
      <c r="AF5"/>
      <c r="AG5"/>
      <c r="AH5"/>
      <c r="AI5"/>
      <c r="AJ5"/>
      <c r="AK5"/>
      <c r="AL5"/>
      <c r="AM5"/>
      <c r="AN5"/>
      <c r="AO5"/>
      <c r="AP5"/>
      <c r="AQ5"/>
      <c r="AR5"/>
    </row>
    <row r="6" spans="1:44" ht="15" customHeight="1" x14ac:dyDescent="0.25">
      <c r="A6" s="644" t="s">
        <v>7</v>
      </c>
      <c r="B6" s="645" t="s">
        <v>14</v>
      </c>
      <c r="C6" s="177" t="s">
        <v>40</v>
      </c>
      <c r="D6" s="474" t="str">
        <f ca="1">IFERROR(OFFSET(Camp_List[P_Code],MATCH(Data_Demography_t[[#This Row],[Camp]],Camp_List[Camp Name],0)-1,0,1,1),"")</f>
        <v>MMR012CMP016</v>
      </c>
      <c r="E6" s="646" t="s">
        <v>679</v>
      </c>
      <c r="F6" s="647" t="s">
        <v>752</v>
      </c>
      <c r="G6" s="381">
        <v>297</v>
      </c>
      <c r="H6" s="177">
        <f t="shared" si="0"/>
        <v>-297</v>
      </c>
      <c r="I6" s="177" t="s">
        <v>643</v>
      </c>
      <c r="J6" s="649">
        <v>42100</v>
      </c>
      <c r="L6" s="317" t="s">
        <v>214</v>
      </c>
      <c r="M6" s="695" t="s">
        <v>753</v>
      </c>
      <c r="N6" s="695" t="s">
        <v>752</v>
      </c>
      <c r="O6" s="695"/>
      <c r="P6" s="695" t="s">
        <v>753</v>
      </c>
      <c r="Q6" s="695" t="s">
        <v>752</v>
      </c>
      <c r="R6" s="695"/>
      <c r="S6" s="1" t="s">
        <v>753</v>
      </c>
      <c r="T6" s="1" t="s">
        <v>752</v>
      </c>
      <c r="U6" s="1"/>
      <c r="V6" s="1" t="s">
        <v>753</v>
      </c>
      <c r="W6" s="1" t="s">
        <v>752</v>
      </c>
      <c r="X6" s="1"/>
      <c r="Y6" s="1" t="s">
        <v>753</v>
      </c>
      <c r="Z6" s="1" t="s">
        <v>752</v>
      </c>
      <c r="AA6" s="1"/>
      <c r="AB6" s="1" t="s">
        <v>753</v>
      </c>
      <c r="AC6" s="1" t="s">
        <v>752</v>
      </c>
      <c r="AD6" s="1"/>
      <c r="AE6" s="695"/>
      <c r="AF6"/>
      <c r="AG6"/>
      <c r="AH6"/>
      <c r="AI6"/>
      <c r="AJ6"/>
      <c r="AK6"/>
      <c r="AL6"/>
      <c r="AM6"/>
      <c r="AN6"/>
      <c r="AO6"/>
      <c r="AP6"/>
      <c r="AQ6"/>
      <c r="AR6"/>
    </row>
    <row r="7" spans="1:44" ht="15" customHeight="1" x14ac:dyDescent="0.25">
      <c r="A7" s="644" t="s">
        <v>7</v>
      </c>
      <c r="B7" s="645" t="s">
        <v>14</v>
      </c>
      <c r="C7" s="177" t="s">
        <v>40</v>
      </c>
      <c r="D7" s="474" t="str">
        <f ca="1">IFERROR(OFFSET(Camp_List[P_Code],MATCH(Data_Demography_t[[#This Row],[Camp]],Camp_List[Camp Name],0)-1,0,1,1),"")</f>
        <v>MMR012CMP016</v>
      </c>
      <c r="E7" s="646" t="s">
        <v>930</v>
      </c>
      <c r="F7" s="647" t="s">
        <v>753</v>
      </c>
      <c r="G7" s="381">
        <v>235</v>
      </c>
      <c r="H7" s="177">
        <f t="shared" si="0"/>
        <v>235</v>
      </c>
      <c r="I7" s="177" t="s">
        <v>643</v>
      </c>
      <c r="J7" s="649">
        <v>42100</v>
      </c>
      <c r="L7" s="739" t="s">
        <v>14</v>
      </c>
      <c r="M7" s="693">
        <v>2210</v>
      </c>
      <c r="N7" s="693">
        <v>2256</v>
      </c>
      <c r="O7" s="693">
        <v>4466</v>
      </c>
      <c r="P7" s="693">
        <v>859</v>
      </c>
      <c r="Q7" s="693">
        <v>1380</v>
      </c>
      <c r="R7" s="693">
        <v>2239</v>
      </c>
      <c r="S7" s="693">
        <v>1970</v>
      </c>
      <c r="T7" s="693">
        <v>1970</v>
      </c>
      <c r="U7" s="693">
        <v>3940</v>
      </c>
      <c r="V7" s="693">
        <v>2195</v>
      </c>
      <c r="W7" s="693">
        <v>1354</v>
      </c>
      <c r="X7" s="693">
        <v>3549</v>
      </c>
      <c r="Y7" s="693">
        <v>2349</v>
      </c>
      <c r="Z7" s="693">
        <v>2356</v>
      </c>
      <c r="AA7" s="693">
        <v>4705</v>
      </c>
      <c r="AB7" s="693">
        <v>301</v>
      </c>
      <c r="AC7" s="693">
        <v>324</v>
      </c>
      <c r="AD7" s="693">
        <v>625</v>
      </c>
      <c r="AE7" s="694">
        <v>19524</v>
      </c>
      <c r="AF7"/>
      <c r="AG7"/>
      <c r="AH7"/>
      <c r="AI7"/>
      <c r="AJ7"/>
      <c r="AK7"/>
      <c r="AL7"/>
      <c r="AM7"/>
      <c r="AN7"/>
      <c r="AO7"/>
      <c r="AP7"/>
      <c r="AQ7"/>
      <c r="AR7"/>
    </row>
    <row r="8" spans="1:44" ht="15" customHeight="1" x14ac:dyDescent="0.25">
      <c r="A8" s="644" t="s">
        <v>7</v>
      </c>
      <c r="B8" s="645" t="s">
        <v>14</v>
      </c>
      <c r="C8" s="177" t="s">
        <v>40</v>
      </c>
      <c r="D8" s="474" t="str">
        <f ca="1">IFERROR(OFFSET(Camp_List[P_Code],MATCH(Data_Demography_t[[#This Row],[Camp]],Camp_List[Camp Name],0)-1,0,1,1),"")</f>
        <v>MMR012CMP016</v>
      </c>
      <c r="E8" s="646" t="s">
        <v>930</v>
      </c>
      <c r="F8" s="647" t="s">
        <v>752</v>
      </c>
      <c r="G8" s="381">
        <v>266</v>
      </c>
      <c r="H8" s="177">
        <f t="shared" si="0"/>
        <v>-266</v>
      </c>
      <c r="I8" s="177" t="s">
        <v>643</v>
      </c>
      <c r="J8" s="649">
        <v>42100</v>
      </c>
      <c r="L8" s="219" t="s">
        <v>42</v>
      </c>
      <c r="M8" s="693">
        <v>589</v>
      </c>
      <c r="N8" s="693">
        <v>612</v>
      </c>
      <c r="O8" s="693">
        <v>1201</v>
      </c>
      <c r="P8" s="693">
        <v>297</v>
      </c>
      <c r="Q8" s="693">
        <v>355</v>
      </c>
      <c r="R8" s="693">
        <v>652</v>
      </c>
      <c r="S8" s="693">
        <v>523</v>
      </c>
      <c r="T8" s="693">
        <v>456</v>
      </c>
      <c r="U8" s="693">
        <v>979</v>
      </c>
      <c r="V8" s="693">
        <v>482</v>
      </c>
      <c r="W8" s="693">
        <v>345</v>
      </c>
      <c r="X8" s="693">
        <v>827</v>
      </c>
      <c r="Y8" s="693">
        <v>602</v>
      </c>
      <c r="Z8" s="693">
        <v>599</v>
      </c>
      <c r="AA8" s="693">
        <v>1201</v>
      </c>
      <c r="AB8" s="693">
        <v>96</v>
      </c>
      <c r="AC8" s="693">
        <v>104</v>
      </c>
      <c r="AD8" s="693">
        <v>200</v>
      </c>
      <c r="AE8" s="694">
        <v>5060</v>
      </c>
      <c r="AF8"/>
      <c r="AG8"/>
      <c r="AH8"/>
      <c r="AI8"/>
      <c r="AJ8"/>
      <c r="AK8"/>
      <c r="AL8"/>
      <c r="AM8"/>
      <c r="AN8"/>
      <c r="AO8"/>
      <c r="AP8"/>
      <c r="AQ8"/>
      <c r="AR8"/>
    </row>
    <row r="9" spans="1:44" ht="15" customHeight="1" x14ac:dyDescent="0.25">
      <c r="A9" s="644" t="s">
        <v>7</v>
      </c>
      <c r="B9" s="645" t="s">
        <v>14</v>
      </c>
      <c r="C9" s="177" t="s">
        <v>40</v>
      </c>
      <c r="D9" s="474" t="str">
        <f ca="1">IFERROR(OFFSET(Camp_List[P_Code],MATCH(Data_Demography_t[[#This Row],[Camp]],Camp_List[Camp Name],0)-1,0,1,1),"")</f>
        <v>MMR012CMP016</v>
      </c>
      <c r="E9" s="646" t="s">
        <v>930</v>
      </c>
      <c r="F9" s="647" t="s">
        <v>753</v>
      </c>
      <c r="G9" s="381">
        <v>453</v>
      </c>
      <c r="H9" s="177">
        <f t="shared" si="0"/>
        <v>453</v>
      </c>
      <c r="I9" s="177" t="s">
        <v>643</v>
      </c>
      <c r="J9" s="649">
        <v>42100</v>
      </c>
      <c r="L9" s="219" t="s">
        <v>43</v>
      </c>
      <c r="M9" s="693">
        <v>196</v>
      </c>
      <c r="N9" s="693">
        <v>231</v>
      </c>
      <c r="O9" s="693">
        <v>427</v>
      </c>
      <c r="P9" s="693">
        <v>179</v>
      </c>
      <c r="Q9" s="693">
        <v>199</v>
      </c>
      <c r="R9" s="693">
        <v>378</v>
      </c>
      <c r="S9" s="693">
        <v>204</v>
      </c>
      <c r="T9" s="693">
        <v>218</v>
      </c>
      <c r="U9" s="693">
        <v>422</v>
      </c>
      <c r="V9" s="693">
        <v>248</v>
      </c>
      <c r="W9" s="693">
        <v>216</v>
      </c>
      <c r="X9" s="693">
        <v>464</v>
      </c>
      <c r="Y9" s="693">
        <v>454</v>
      </c>
      <c r="Z9" s="693">
        <v>422</v>
      </c>
      <c r="AA9" s="693">
        <v>876</v>
      </c>
      <c r="AB9" s="693">
        <v>61</v>
      </c>
      <c r="AC9" s="693">
        <v>40</v>
      </c>
      <c r="AD9" s="693">
        <v>101</v>
      </c>
      <c r="AE9" s="694">
        <v>2668</v>
      </c>
      <c r="AF9"/>
      <c r="AG9"/>
      <c r="AH9"/>
      <c r="AI9"/>
      <c r="AJ9"/>
      <c r="AK9"/>
      <c r="AL9"/>
      <c r="AM9"/>
      <c r="AN9"/>
      <c r="AO9"/>
      <c r="AP9"/>
      <c r="AQ9"/>
      <c r="AR9"/>
    </row>
    <row r="10" spans="1:44" ht="15" customHeight="1" x14ac:dyDescent="0.25">
      <c r="A10" s="644" t="s">
        <v>7</v>
      </c>
      <c r="B10" s="645" t="s">
        <v>14</v>
      </c>
      <c r="C10" s="177" t="s">
        <v>40</v>
      </c>
      <c r="D10" s="474" t="str">
        <f ca="1">IFERROR(OFFSET(Camp_List[P_Code],MATCH(Data_Demography_t[[#This Row],[Camp]],Camp_List[Camp Name],0)-1,0,1,1),"")</f>
        <v>MMR012CMP016</v>
      </c>
      <c r="E10" s="646" t="s">
        <v>931</v>
      </c>
      <c r="F10" s="647" t="s">
        <v>752</v>
      </c>
      <c r="G10" s="381">
        <v>469</v>
      </c>
      <c r="H10" s="177">
        <f t="shared" si="0"/>
        <v>-469</v>
      </c>
      <c r="I10" s="177" t="s">
        <v>643</v>
      </c>
      <c r="J10" s="649">
        <v>42100</v>
      </c>
      <c r="L10" s="219" t="s">
        <v>40</v>
      </c>
      <c r="M10" s="697">
        <v>472</v>
      </c>
      <c r="N10" s="697">
        <v>406</v>
      </c>
      <c r="O10" s="697">
        <v>878</v>
      </c>
      <c r="P10" s="697"/>
      <c r="Q10" s="697">
        <v>297</v>
      </c>
      <c r="R10" s="697">
        <v>297</v>
      </c>
      <c r="S10" s="697">
        <v>495</v>
      </c>
      <c r="T10" s="697">
        <v>546</v>
      </c>
      <c r="U10" s="697">
        <v>1041</v>
      </c>
      <c r="V10" s="697">
        <v>688</v>
      </c>
      <c r="W10" s="697">
        <v>266</v>
      </c>
      <c r="X10" s="697">
        <v>954</v>
      </c>
      <c r="Y10" s="697">
        <v>523</v>
      </c>
      <c r="Z10" s="697">
        <v>469</v>
      </c>
      <c r="AA10" s="697">
        <v>992</v>
      </c>
      <c r="AB10" s="697">
        <v>48</v>
      </c>
      <c r="AC10" s="697">
        <v>62</v>
      </c>
      <c r="AD10" s="697">
        <v>110</v>
      </c>
      <c r="AE10" s="698">
        <v>4272</v>
      </c>
      <c r="AF10"/>
      <c r="AG10"/>
      <c r="AH10"/>
      <c r="AI10"/>
      <c r="AJ10"/>
      <c r="AK10"/>
      <c r="AL10"/>
      <c r="AM10"/>
      <c r="AN10"/>
      <c r="AO10"/>
      <c r="AP10"/>
      <c r="AQ10"/>
      <c r="AR10"/>
    </row>
    <row r="11" spans="1:44" ht="15" customHeight="1" x14ac:dyDescent="0.25">
      <c r="A11" s="644" t="s">
        <v>7</v>
      </c>
      <c r="B11" s="645" t="s">
        <v>14</v>
      </c>
      <c r="C11" s="177" t="s">
        <v>40</v>
      </c>
      <c r="D11" s="474" t="str">
        <f ca="1">IFERROR(OFFSET(Camp_List[P_Code],MATCH(Data_Demography_t[[#This Row],[Camp]],Camp_List[Camp Name],0)-1,0,1,1),"")</f>
        <v>MMR012CMP016</v>
      </c>
      <c r="E11" s="646" t="s">
        <v>931</v>
      </c>
      <c r="F11" s="647" t="s">
        <v>753</v>
      </c>
      <c r="G11" s="381">
        <v>523</v>
      </c>
      <c r="H11" s="177">
        <f t="shared" si="0"/>
        <v>523</v>
      </c>
      <c r="I11" s="177" t="s">
        <v>643</v>
      </c>
      <c r="J11" s="649">
        <v>42100</v>
      </c>
      <c r="L11" s="219" t="s">
        <v>39</v>
      </c>
      <c r="M11" s="697">
        <v>14</v>
      </c>
      <c r="N11" s="697">
        <v>7</v>
      </c>
      <c r="O11" s="697">
        <v>21</v>
      </c>
      <c r="P11" s="697"/>
      <c r="Q11" s="697">
        <v>7</v>
      </c>
      <c r="R11" s="697">
        <v>7</v>
      </c>
      <c r="S11" s="697">
        <v>5</v>
      </c>
      <c r="T11" s="697">
        <v>10</v>
      </c>
      <c r="U11" s="697">
        <v>15</v>
      </c>
      <c r="V11" s="697">
        <v>19</v>
      </c>
      <c r="W11" s="697">
        <v>18</v>
      </c>
      <c r="X11" s="697">
        <v>37</v>
      </c>
      <c r="Y11" s="697">
        <v>23</v>
      </c>
      <c r="Z11" s="697">
        <v>16</v>
      </c>
      <c r="AA11" s="697">
        <v>39</v>
      </c>
      <c r="AB11" s="697">
        <v>2</v>
      </c>
      <c r="AC11" s="697">
        <v>1</v>
      </c>
      <c r="AD11" s="697">
        <v>3</v>
      </c>
      <c r="AE11" s="698">
        <v>122</v>
      </c>
      <c r="AF11"/>
      <c r="AG11"/>
      <c r="AH11"/>
      <c r="AI11"/>
      <c r="AJ11"/>
      <c r="AK11"/>
      <c r="AL11"/>
      <c r="AM11"/>
      <c r="AN11"/>
      <c r="AO11"/>
      <c r="AP11"/>
      <c r="AQ11"/>
      <c r="AR11"/>
    </row>
    <row r="12" spans="1:44" x14ac:dyDescent="0.25">
      <c r="A12" s="644" t="s">
        <v>7</v>
      </c>
      <c r="B12" s="645" t="s">
        <v>14</v>
      </c>
      <c r="C12" s="177" t="s">
        <v>40</v>
      </c>
      <c r="D12" s="474" t="str">
        <f ca="1">IFERROR(OFFSET(Camp_List[P_Code],MATCH(Data_Demography_t[[#This Row],[Camp]],Camp_List[Camp Name],0)-1,0,1,1),"")</f>
        <v>MMR012CMP016</v>
      </c>
      <c r="E12" s="646" t="s">
        <v>905</v>
      </c>
      <c r="F12" s="647" t="s">
        <v>752</v>
      </c>
      <c r="G12" s="381">
        <v>62</v>
      </c>
      <c r="H12" s="177">
        <f t="shared" si="0"/>
        <v>-62</v>
      </c>
      <c r="I12" s="177" t="s">
        <v>643</v>
      </c>
      <c r="J12" s="649">
        <v>42100</v>
      </c>
      <c r="L12" s="219" t="s">
        <v>41</v>
      </c>
      <c r="M12" s="697">
        <v>939</v>
      </c>
      <c r="N12" s="697">
        <v>1000</v>
      </c>
      <c r="O12" s="697">
        <v>1939</v>
      </c>
      <c r="P12" s="697">
        <v>383</v>
      </c>
      <c r="Q12" s="697">
        <v>522</v>
      </c>
      <c r="R12" s="697">
        <v>905</v>
      </c>
      <c r="S12" s="697">
        <v>743</v>
      </c>
      <c r="T12" s="697">
        <v>740</v>
      </c>
      <c r="U12" s="697">
        <v>1483</v>
      </c>
      <c r="V12" s="697">
        <v>758</v>
      </c>
      <c r="W12" s="697">
        <v>509</v>
      </c>
      <c r="X12" s="697">
        <v>1267</v>
      </c>
      <c r="Y12" s="697">
        <v>747</v>
      </c>
      <c r="Z12" s="697">
        <v>850</v>
      </c>
      <c r="AA12" s="697">
        <v>1597</v>
      </c>
      <c r="AB12" s="697">
        <v>94</v>
      </c>
      <c r="AC12" s="697">
        <v>117</v>
      </c>
      <c r="AD12" s="697">
        <v>211</v>
      </c>
      <c r="AE12" s="698">
        <v>7402</v>
      </c>
      <c r="AF12"/>
      <c r="AG12"/>
      <c r="AH12"/>
      <c r="AI12"/>
      <c r="AJ12"/>
      <c r="AK12"/>
      <c r="AL12"/>
      <c r="AM12"/>
      <c r="AN12"/>
      <c r="AO12"/>
      <c r="AP12"/>
      <c r="AQ12"/>
      <c r="AR12"/>
    </row>
    <row r="13" spans="1:44" x14ac:dyDescent="0.25">
      <c r="A13" s="644" t="s">
        <v>7</v>
      </c>
      <c r="B13" s="645" t="s">
        <v>14</v>
      </c>
      <c r="C13" s="177" t="s">
        <v>40</v>
      </c>
      <c r="D13" s="474" t="str">
        <f ca="1">IFERROR(OFFSET(Camp_List[P_Code],MATCH(Data_Demography_t[[#This Row],[Camp]],Camp_List[Camp Name],0)-1,0,1,1),"")</f>
        <v>MMR012CMP016</v>
      </c>
      <c r="E13" s="646" t="s">
        <v>905</v>
      </c>
      <c r="F13" s="647" t="s">
        <v>753</v>
      </c>
      <c r="G13" s="381">
        <v>48</v>
      </c>
      <c r="H13" s="177">
        <f t="shared" si="0"/>
        <v>48</v>
      </c>
      <c r="I13" s="177" t="s">
        <v>643</v>
      </c>
      <c r="J13" s="649">
        <v>42100</v>
      </c>
      <c r="L13" s="739" t="s">
        <v>19</v>
      </c>
      <c r="M13" s="693">
        <v>8894</v>
      </c>
      <c r="N13" s="693">
        <v>8631</v>
      </c>
      <c r="O13" s="693">
        <v>17525</v>
      </c>
      <c r="P13" s="693">
        <v>4949</v>
      </c>
      <c r="Q13" s="693">
        <v>6892</v>
      </c>
      <c r="R13" s="693">
        <v>11841</v>
      </c>
      <c r="S13" s="693">
        <v>8380</v>
      </c>
      <c r="T13" s="693">
        <v>9089</v>
      </c>
      <c r="U13" s="693">
        <v>17469</v>
      </c>
      <c r="V13" s="693">
        <v>11196</v>
      </c>
      <c r="W13" s="693">
        <v>7295</v>
      </c>
      <c r="X13" s="693">
        <v>18491</v>
      </c>
      <c r="Y13" s="693">
        <v>12383</v>
      </c>
      <c r="Z13" s="693">
        <v>11513</v>
      </c>
      <c r="AA13" s="693">
        <v>23896</v>
      </c>
      <c r="AB13" s="693">
        <v>1691</v>
      </c>
      <c r="AC13" s="693">
        <v>1616</v>
      </c>
      <c r="AD13" s="693">
        <v>3307</v>
      </c>
      <c r="AE13" s="694">
        <v>92529</v>
      </c>
      <c r="AF13"/>
      <c r="AG13"/>
      <c r="AH13"/>
      <c r="AI13"/>
      <c r="AJ13"/>
      <c r="AK13"/>
      <c r="AL13"/>
      <c r="AM13"/>
      <c r="AN13"/>
      <c r="AO13"/>
      <c r="AP13"/>
      <c r="AQ13"/>
      <c r="AR13"/>
    </row>
    <row r="14" spans="1:44" x14ac:dyDescent="0.25">
      <c r="A14" s="384" t="s">
        <v>7</v>
      </c>
      <c r="B14" s="378" t="s">
        <v>14</v>
      </c>
      <c r="C14" s="385" t="s">
        <v>39</v>
      </c>
      <c r="D14" s="465" t="str">
        <f ca="1">IFERROR(OFFSET(Camp_List[P_Code],MATCH(Data_Demography_t[[#This Row],[Camp]],Camp_List[Camp Name],0)-1,0,1,1),"")</f>
        <v>MMR012CMP015</v>
      </c>
      <c r="E14" s="469" t="s">
        <v>754</v>
      </c>
      <c r="F14" s="385" t="s">
        <v>752</v>
      </c>
      <c r="G14" s="466">
        <v>7</v>
      </c>
      <c r="H14" s="467">
        <f t="shared" si="0"/>
        <v>-7</v>
      </c>
      <c r="I14" s="385" t="s">
        <v>643</v>
      </c>
      <c r="J14" s="383">
        <v>42095</v>
      </c>
      <c r="L14" s="219" t="s">
        <v>655</v>
      </c>
      <c r="M14" s="693">
        <v>1429</v>
      </c>
      <c r="N14" s="693">
        <v>1479</v>
      </c>
      <c r="O14" s="693">
        <v>2908</v>
      </c>
      <c r="P14" s="693">
        <v>907</v>
      </c>
      <c r="Q14" s="693">
        <v>1004</v>
      </c>
      <c r="R14" s="693">
        <v>1911</v>
      </c>
      <c r="S14" s="693">
        <v>1300</v>
      </c>
      <c r="T14" s="693">
        <v>1461</v>
      </c>
      <c r="U14" s="693">
        <v>2761</v>
      </c>
      <c r="V14" s="693">
        <v>1495</v>
      </c>
      <c r="W14" s="693">
        <v>1034</v>
      </c>
      <c r="X14" s="693">
        <v>2529</v>
      </c>
      <c r="Y14" s="693">
        <v>1562</v>
      </c>
      <c r="Z14" s="693">
        <v>1406</v>
      </c>
      <c r="AA14" s="693">
        <v>2968</v>
      </c>
      <c r="AB14" s="693">
        <v>319</v>
      </c>
      <c r="AC14" s="693">
        <v>259</v>
      </c>
      <c r="AD14" s="693">
        <v>578</v>
      </c>
      <c r="AE14" s="694">
        <v>13655</v>
      </c>
      <c r="AF14"/>
      <c r="AG14"/>
      <c r="AH14"/>
      <c r="AI14"/>
      <c r="AJ14"/>
      <c r="AK14"/>
      <c r="AL14"/>
      <c r="AM14"/>
      <c r="AN14"/>
      <c r="AO14"/>
      <c r="AP14"/>
      <c r="AQ14"/>
      <c r="AR14"/>
    </row>
    <row r="15" spans="1:44" x14ac:dyDescent="0.25">
      <c r="A15" s="384" t="s">
        <v>7</v>
      </c>
      <c r="B15" s="378" t="s">
        <v>14</v>
      </c>
      <c r="C15" s="385" t="s">
        <v>39</v>
      </c>
      <c r="D15" s="465" t="str">
        <f ca="1">IFERROR(OFFSET(Camp_List[P_Code],MATCH(Data_Demography_t[[#This Row],[Camp]],Camp_List[Camp Name],0)-1,0,1,1),"")</f>
        <v>MMR012CMP015</v>
      </c>
      <c r="E15" s="469" t="s">
        <v>754</v>
      </c>
      <c r="F15" s="447" t="s">
        <v>753</v>
      </c>
      <c r="G15" s="466">
        <v>14</v>
      </c>
      <c r="H15" s="467">
        <f t="shared" si="0"/>
        <v>14</v>
      </c>
      <c r="I15" s="385" t="s">
        <v>643</v>
      </c>
      <c r="J15" s="383">
        <v>42095</v>
      </c>
      <c r="L15" s="219" t="s">
        <v>656</v>
      </c>
      <c r="M15" s="693">
        <v>1150</v>
      </c>
      <c r="N15" s="693">
        <v>1179</v>
      </c>
      <c r="O15" s="693">
        <v>2329</v>
      </c>
      <c r="P15" s="693">
        <v>835</v>
      </c>
      <c r="Q15" s="693">
        <v>957</v>
      </c>
      <c r="R15" s="693">
        <v>1792</v>
      </c>
      <c r="S15" s="693">
        <v>1190</v>
      </c>
      <c r="T15" s="693">
        <v>1316</v>
      </c>
      <c r="U15" s="693">
        <v>2506</v>
      </c>
      <c r="V15" s="693">
        <v>1214</v>
      </c>
      <c r="W15" s="693">
        <v>799</v>
      </c>
      <c r="X15" s="693">
        <v>2013</v>
      </c>
      <c r="Y15" s="693">
        <v>1353</v>
      </c>
      <c r="Z15" s="693">
        <v>1331</v>
      </c>
      <c r="AA15" s="693">
        <v>2684</v>
      </c>
      <c r="AB15" s="693">
        <v>183</v>
      </c>
      <c r="AC15" s="693">
        <v>197</v>
      </c>
      <c r="AD15" s="693">
        <v>380</v>
      </c>
      <c r="AE15" s="694">
        <v>11704</v>
      </c>
      <c r="AF15"/>
      <c r="AG15"/>
      <c r="AH15"/>
      <c r="AI15"/>
      <c r="AJ15"/>
      <c r="AK15"/>
      <c r="AL15"/>
      <c r="AM15"/>
      <c r="AN15"/>
      <c r="AO15"/>
      <c r="AP15"/>
      <c r="AQ15"/>
      <c r="AR15"/>
    </row>
    <row r="16" spans="1:44" x14ac:dyDescent="0.25">
      <c r="A16" s="384" t="s">
        <v>7</v>
      </c>
      <c r="B16" s="378" t="s">
        <v>14</v>
      </c>
      <c r="C16" s="385" t="s">
        <v>39</v>
      </c>
      <c r="D16" s="385" t="str">
        <f ca="1">IFERROR(OFFSET(Camp_List[P_Code],MATCH(Data_Demography_t[[#This Row],[Camp]],Camp_List[Camp Name],0)-1,0,1,1),"")</f>
        <v>MMR012CMP015</v>
      </c>
      <c r="E16" s="386" t="s">
        <v>929</v>
      </c>
      <c r="F16" s="385" t="s">
        <v>752</v>
      </c>
      <c r="G16" s="381">
        <v>10</v>
      </c>
      <c r="H16" s="177">
        <f t="shared" si="0"/>
        <v>-10</v>
      </c>
      <c r="I16" s="385" t="s">
        <v>643</v>
      </c>
      <c r="J16" s="377">
        <v>42095</v>
      </c>
      <c r="L16" s="219" t="s">
        <v>67</v>
      </c>
      <c r="M16" s="693">
        <v>1293</v>
      </c>
      <c r="N16" s="693">
        <v>1277</v>
      </c>
      <c r="O16" s="693">
        <v>2570</v>
      </c>
      <c r="P16" s="693">
        <v>844</v>
      </c>
      <c r="Q16" s="693">
        <v>852</v>
      </c>
      <c r="R16" s="693">
        <v>1696</v>
      </c>
      <c r="S16" s="693">
        <v>1219</v>
      </c>
      <c r="T16" s="693">
        <v>1337</v>
      </c>
      <c r="U16" s="693">
        <v>2556</v>
      </c>
      <c r="V16" s="693">
        <v>1275</v>
      </c>
      <c r="W16" s="693">
        <v>901</v>
      </c>
      <c r="X16" s="693">
        <v>2176</v>
      </c>
      <c r="Y16" s="693">
        <v>1475</v>
      </c>
      <c r="Z16" s="693">
        <v>1335</v>
      </c>
      <c r="AA16" s="693">
        <v>2810</v>
      </c>
      <c r="AB16" s="693">
        <v>180</v>
      </c>
      <c r="AC16" s="693">
        <v>190</v>
      </c>
      <c r="AD16" s="693">
        <v>370</v>
      </c>
      <c r="AE16" s="694">
        <v>12178</v>
      </c>
      <c r="AF16"/>
      <c r="AG16"/>
      <c r="AH16"/>
      <c r="AI16"/>
      <c r="AJ16"/>
      <c r="AK16"/>
      <c r="AL16"/>
      <c r="AM16"/>
      <c r="AN16"/>
      <c r="AO16"/>
      <c r="AP16"/>
      <c r="AQ16"/>
      <c r="AR16"/>
    </row>
    <row r="17" spans="1:44" x14ac:dyDescent="0.25">
      <c r="A17" s="384" t="s">
        <v>7</v>
      </c>
      <c r="B17" s="378" t="s">
        <v>14</v>
      </c>
      <c r="C17" s="385" t="s">
        <v>39</v>
      </c>
      <c r="D17" s="385" t="str">
        <f ca="1">IFERROR(OFFSET(Camp_List[P_Code],MATCH(Data_Demography_t[[#This Row],[Camp]],Camp_List[Camp Name],0)-1,0,1,1),"")</f>
        <v>MMR012CMP015</v>
      </c>
      <c r="E17" s="386" t="s">
        <v>929</v>
      </c>
      <c r="F17" s="447" t="s">
        <v>753</v>
      </c>
      <c r="G17" s="381">
        <v>5</v>
      </c>
      <c r="H17" s="177">
        <f t="shared" si="0"/>
        <v>5</v>
      </c>
      <c r="I17" s="385" t="s">
        <v>643</v>
      </c>
      <c r="J17" s="377">
        <v>42095</v>
      </c>
      <c r="L17" s="219" t="s">
        <v>61</v>
      </c>
      <c r="M17" s="693">
        <v>240</v>
      </c>
      <c r="N17" s="693">
        <v>263</v>
      </c>
      <c r="O17" s="693">
        <v>503</v>
      </c>
      <c r="P17" s="693"/>
      <c r="Q17" s="693">
        <v>112</v>
      </c>
      <c r="R17" s="693">
        <v>112</v>
      </c>
      <c r="S17" s="693">
        <v>136</v>
      </c>
      <c r="T17" s="693">
        <v>145</v>
      </c>
      <c r="U17" s="693">
        <v>281</v>
      </c>
      <c r="V17" s="693">
        <v>322</v>
      </c>
      <c r="W17" s="693">
        <v>151</v>
      </c>
      <c r="X17" s="693">
        <v>473</v>
      </c>
      <c r="Y17" s="693">
        <v>311</v>
      </c>
      <c r="Z17" s="693">
        <v>294</v>
      </c>
      <c r="AA17" s="693">
        <v>605</v>
      </c>
      <c r="AB17" s="693">
        <v>41</v>
      </c>
      <c r="AC17" s="693">
        <v>34</v>
      </c>
      <c r="AD17" s="693">
        <v>75</v>
      </c>
      <c r="AE17" s="694">
        <v>2049</v>
      </c>
      <c r="AF17"/>
      <c r="AG17"/>
      <c r="AH17"/>
      <c r="AI17"/>
      <c r="AJ17"/>
      <c r="AK17"/>
      <c r="AL17"/>
      <c r="AM17"/>
      <c r="AN17"/>
      <c r="AO17"/>
      <c r="AP17"/>
      <c r="AQ17"/>
      <c r="AR17"/>
    </row>
    <row r="18" spans="1:44" x14ac:dyDescent="0.25">
      <c r="A18" s="384" t="s">
        <v>7</v>
      </c>
      <c r="B18" s="378" t="s">
        <v>14</v>
      </c>
      <c r="C18" s="385" t="s">
        <v>39</v>
      </c>
      <c r="D18" s="385" t="str">
        <f ca="1">IFERROR(OFFSET(Camp_List[P_Code],MATCH(Data_Demography_t[[#This Row],[Camp]],Camp_List[Camp Name],0)-1,0,1,1),"")</f>
        <v>MMR012CMP015</v>
      </c>
      <c r="E18" s="386" t="s">
        <v>679</v>
      </c>
      <c r="F18" s="385" t="s">
        <v>752</v>
      </c>
      <c r="G18" s="381">
        <v>7</v>
      </c>
      <c r="H18" s="177">
        <f t="shared" si="0"/>
        <v>-7</v>
      </c>
      <c r="I18" s="385" t="s">
        <v>643</v>
      </c>
      <c r="J18" s="377">
        <v>42095</v>
      </c>
      <c r="L18" s="219" t="s">
        <v>63</v>
      </c>
      <c r="M18" s="693">
        <v>708</v>
      </c>
      <c r="N18" s="693">
        <v>652</v>
      </c>
      <c r="O18" s="693">
        <v>1360</v>
      </c>
      <c r="P18" s="693"/>
      <c r="Q18" s="693">
        <v>648</v>
      </c>
      <c r="R18" s="693">
        <v>648</v>
      </c>
      <c r="S18" s="693">
        <v>802</v>
      </c>
      <c r="T18" s="693">
        <v>809</v>
      </c>
      <c r="U18" s="693">
        <v>1611</v>
      </c>
      <c r="V18" s="693">
        <v>1505</v>
      </c>
      <c r="W18" s="693">
        <v>727</v>
      </c>
      <c r="X18" s="693">
        <v>2232</v>
      </c>
      <c r="Y18" s="693">
        <v>1057</v>
      </c>
      <c r="Z18" s="693">
        <v>971</v>
      </c>
      <c r="AA18" s="693">
        <v>2028</v>
      </c>
      <c r="AB18" s="693">
        <v>159</v>
      </c>
      <c r="AC18" s="693">
        <v>151</v>
      </c>
      <c r="AD18" s="693">
        <v>310</v>
      </c>
      <c r="AE18" s="694">
        <v>8189</v>
      </c>
      <c r="AF18"/>
      <c r="AG18"/>
      <c r="AH18"/>
      <c r="AI18"/>
      <c r="AJ18"/>
      <c r="AK18"/>
      <c r="AL18"/>
      <c r="AM18"/>
      <c r="AN18"/>
      <c r="AO18"/>
      <c r="AP18"/>
      <c r="AQ18"/>
      <c r="AR18"/>
    </row>
    <row r="19" spans="1:44" x14ac:dyDescent="0.25">
      <c r="A19" s="384" t="s">
        <v>7</v>
      </c>
      <c r="B19" s="378" t="s">
        <v>14</v>
      </c>
      <c r="C19" s="385" t="s">
        <v>39</v>
      </c>
      <c r="D19" s="385" t="str">
        <f ca="1">IFERROR(OFFSET(Camp_List[P_Code],MATCH(Data_Demography_t[[#This Row],[Camp]],Camp_List[Camp Name],0)-1,0,1,1),"")</f>
        <v>MMR012CMP015</v>
      </c>
      <c r="E19" s="386" t="s">
        <v>930</v>
      </c>
      <c r="F19" s="447" t="s">
        <v>753</v>
      </c>
      <c r="G19" s="381">
        <v>6</v>
      </c>
      <c r="H19" s="177">
        <f t="shared" si="0"/>
        <v>6</v>
      </c>
      <c r="I19" s="385" t="s">
        <v>643</v>
      </c>
      <c r="J19" s="377">
        <v>42095</v>
      </c>
      <c r="L19" s="219" t="s">
        <v>64</v>
      </c>
      <c r="M19" s="693">
        <v>438</v>
      </c>
      <c r="N19" s="693">
        <v>444</v>
      </c>
      <c r="O19" s="693">
        <v>882</v>
      </c>
      <c r="P19" s="693">
        <v>273</v>
      </c>
      <c r="Q19" s="693">
        <v>320</v>
      </c>
      <c r="R19" s="693">
        <v>593</v>
      </c>
      <c r="S19" s="693">
        <v>358</v>
      </c>
      <c r="T19" s="693">
        <v>391</v>
      </c>
      <c r="U19" s="693">
        <v>749</v>
      </c>
      <c r="V19" s="693">
        <v>465</v>
      </c>
      <c r="W19" s="693">
        <v>336</v>
      </c>
      <c r="X19" s="693">
        <v>801</v>
      </c>
      <c r="Y19" s="693">
        <v>604</v>
      </c>
      <c r="Z19" s="693">
        <v>581</v>
      </c>
      <c r="AA19" s="693">
        <v>1185</v>
      </c>
      <c r="AB19" s="693">
        <v>73</v>
      </c>
      <c r="AC19" s="693">
        <v>59</v>
      </c>
      <c r="AD19" s="693">
        <v>132</v>
      </c>
      <c r="AE19" s="694">
        <v>4342</v>
      </c>
      <c r="AF19"/>
      <c r="AG19"/>
      <c r="AH19"/>
      <c r="AI19"/>
      <c r="AJ19"/>
      <c r="AK19"/>
      <c r="AL19"/>
      <c r="AM19"/>
      <c r="AN19"/>
      <c r="AO19"/>
      <c r="AP19"/>
      <c r="AQ19"/>
      <c r="AR19"/>
    </row>
    <row r="20" spans="1:44" x14ac:dyDescent="0.25">
      <c r="A20" s="384" t="s">
        <v>7</v>
      </c>
      <c r="B20" s="378" t="s">
        <v>14</v>
      </c>
      <c r="C20" s="385" t="s">
        <v>39</v>
      </c>
      <c r="D20" s="385" t="str">
        <f ca="1">IFERROR(OFFSET(Camp_List[P_Code],MATCH(Data_Demography_t[[#This Row],[Camp]],Camp_List[Camp Name],0)-1,0,1,1),"")</f>
        <v>MMR012CMP015</v>
      </c>
      <c r="E20" s="386" t="s">
        <v>930</v>
      </c>
      <c r="F20" s="385" t="s">
        <v>752</v>
      </c>
      <c r="G20" s="381">
        <v>18</v>
      </c>
      <c r="H20" s="177">
        <f t="shared" si="0"/>
        <v>-18</v>
      </c>
      <c r="I20" s="385" t="s">
        <v>643</v>
      </c>
      <c r="J20" s="377">
        <v>42095</v>
      </c>
      <c r="L20" s="219" t="s">
        <v>649</v>
      </c>
      <c r="M20" s="693">
        <v>336</v>
      </c>
      <c r="N20" s="693">
        <v>304</v>
      </c>
      <c r="O20" s="693">
        <v>640</v>
      </c>
      <c r="P20" s="693">
        <v>224</v>
      </c>
      <c r="Q20" s="693">
        <v>218</v>
      </c>
      <c r="R20" s="693">
        <v>442</v>
      </c>
      <c r="S20" s="693">
        <v>276</v>
      </c>
      <c r="T20" s="693">
        <v>295</v>
      </c>
      <c r="U20" s="693">
        <v>571</v>
      </c>
      <c r="V20" s="693">
        <v>348</v>
      </c>
      <c r="W20" s="693">
        <v>288</v>
      </c>
      <c r="X20" s="693">
        <v>636</v>
      </c>
      <c r="Y20" s="693">
        <v>483</v>
      </c>
      <c r="Z20" s="693">
        <v>439</v>
      </c>
      <c r="AA20" s="693">
        <v>922</v>
      </c>
      <c r="AB20" s="693">
        <v>67</v>
      </c>
      <c r="AC20" s="693">
        <v>74</v>
      </c>
      <c r="AD20" s="693">
        <v>141</v>
      </c>
      <c r="AE20" s="694">
        <v>3352</v>
      </c>
      <c r="AF20"/>
      <c r="AG20"/>
      <c r="AH20"/>
      <c r="AI20"/>
      <c r="AJ20"/>
      <c r="AK20"/>
      <c r="AL20"/>
      <c r="AM20"/>
      <c r="AN20"/>
      <c r="AO20"/>
      <c r="AP20"/>
      <c r="AQ20"/>
      <c r="AR20"/>
    </row>
    <row r="21" spans="1:44" x14ac:dyDescent="0.25">
      <c r="A21" s="384" t="s">
        <v>7</v>
      </c>
      <c r="B21" s="378" t="s">
        <v>14</v>
      </c>
      <c r="C21" s="385" t="s">
        <v>39</v>
      </c>
      <c r="D21" s="385" t="str">
        <f ca="1">IFERROR(OFFSET(Camp_List[P_Code],MATCH(Data_Demography_t[[#This Row],[Camp]],Camp_List[Camp Name],0)-1,0,1,1),"")</f>
        <v>MMR012CMP015</v>
      </c>
      <c r="E21" s="386" t="s">
        <v>930</v>
      </c>
      <c r="F21" s="447" t="s">
        <v>753</v>
      </c>
      <c r="G21" s="381">
        <v>13</v>
      </c>
      <c r="H21" s="177">
        <f t="shared" si="0"/>
        <v>13</v>
      </c>
      <c r="I21" s="385" t="s">
        <v>643</v>
      </c>
      <c r="J21" s="377">
        <v>42095</v>
      </c>
      <c r="L21" s="219" t="s">
        <v>654</v>
      </c>
      <c r="M21" s="693">
        <v>415</v>
      </c>
      <c r="N21" s="693">
        <v>352</v>
      </c>
      <c r="O21" s="693">
        <v>767</v>
      </c>
      <c r="P21" s="693">
        <v>224</v>
      </c>
      <c r="Q21" s="693">
        <v>259</v>
      </c>
      <c r="R21" s="693">
        <v>483</v>
      </c>
      <c r="S21" s="693">
        <v>365</v>
      </c>
      <c r="T21" s="693">
        <v>429</v>
      </c>
      <c r="U21" s="693">
        <v>794</v>
      </c>
      <c r="V21" s="693">
        <v>291</v>
      </c>
      <c r="W21" s="693">
        <v>243</v>
      </c>
      <c r="X21" s="693">
        <v>534</v>
      </c>
      <c r="Y21" s="693">
        <v>375</v>
      </c>
      <c r="Z21" s="693">
        <v>364</v>
      </c>
      <c r="AA21" s="693">
        <v>739</v>
      </c>
      <c r="AB21" s="693">
        <v>27</v>
      </c>
      <c r="AC21" s="693">
        <v>45</v>
      </c>
      <c r="AD21" s="693">
        <v>72</v>
      </c>
      <c r="AE21" s="694">
        <v>3389</v>
      </c>
      <c r="AF21"/>
      <c r="AG21"/>
      <c r="AH21"/>
      <c r="AI21"/>
      <c r="AJ21"/>
      <c r="AK21"/>
      <c r="AL21"/>
      <c r="AM21"/>
      <c r="AN21"/>
      <c r="AO21"/>
      <c r="AP21"/>
      <c r="AQ21"/>
      <c r="AR21"/>
    </row>
    <row r="22" spans="1:44" x14ac:dyDescent="0.25">
      <c r="A22" s="384" t="s">
        <v>7</v>
      </c>
      <c r="B22" s="378" t="s">
        <v>14</v>
      </c>
      <c r="C22" s="385" t="s">
        <v>39</v>
      </c>
      <c r="D22" s="385" t="str">
        <f ca="1">IFERROR(OFFSET(Camp_List[P_Code],MATCH(Data_Demography_t[[#This Row],[Camp]],Camp_List[Camp Name],0)-1,0,1,1),"")</f>
        <v>MMR012CMP015</v>
      </c>
      <c r="E22" s="382" t="s">
        <v>931</v>
      </c>
      <c r="F22" s="385" t="s">
        <v>752</v>
      </c>
      <c r="G22" s="381">
        <v>16</v>
      </c>
      <c r="H22" s="177">
        <f t="shared" si="0"/>
        <v>-16</v>
      </c>
      <c r="I22" s="385" t="s">
        <v>643</v>
      </c>
      <c r="J22" s="377">
        <v>42095</v>
      </c>
      <c r="L22" s="219" t="s">
        <v>659</v>
      </c>
      <c r="M22" s="693">
        <v>56</v>
      </c>
      <c r="N22" s="693">
        <v>65</v>
      </c>
      <c r="O22" s="693">
        <v>121</v>
      </c>
      <c r="P22" s="693">
        <v>95</v>
      </c>
      <c r="Q22" s="693">
        <v>72</v>
      </c>
      <c r="R22" s="693">
        <v>167</v>
      </c>
      <c r="S22" s="693">
        <v>73</v>
      </c>
      <c r="T22" s="693">
        <v>84</v>
      </c>
      <c r="U22" s="693">
        <v>157</v>
      </c>
      <c r="V22" s="693">
        <v>117</v>
      </c>
      <c r="W22" s="693">
        <v>92</v>
      </c>
      <c r="X22" s="693">
        <v>209</v>
      </c>
      <c r="Y22" s="693">
        <v>264</v>
      </c>
      <c r="Z22" s="693">
        <v>265</v>
      </c>
      <c r="AA22" s="693">
        <v>529</v>
      </c>
      <c r="AB22" s="693">
        <v>59</v>
      </c>
      <c r="AC22" s="693">
        <v>40</v>
      </c>
      <c r="AD22" s="693">
        <v>99</v>
      </c>
      <c r="AE22" s="694">
        <v>1282</v>
      </c>
      <c r="AF22"/>
      <c r="AG22"/>
      <c r="AH22"/>
      <c r="AI22"/>
      <c r="AJ22"/>
      <c r="AK22"/>
      <c r="AL22"/>
      <c r="AM22"/>
      <c r="AN22"/>
      <c r="AO22"/>
      <c r="AP22"/>
      <c r="AQ22"/>
      <c r="AR22"/>
    </row>
    <row r="23" spans="1:44" x14ac:dyDescent="0.25">
      <c r="A23" s="384" t="s">
        <v>7</v>
      </c>
      <c r="B23" s="378" t="s">
        <v>14</v>
      </c>
      <c r="C23" s="385" t="s">
        <v>39</v>
      </c>
      <c r="D23" s="385" t="str">
        <f ca="1">IFERROR(OFFSET(Camp_List[P_Code],MATCH(Data_Demography_t[[#This Row],[Camp]],Camp_List[Camp Name],0)-1,0,1,1),"")</f>
        <v>MMR012CMP015</v>
      </c>
      <c r="E23" s="382" t="s">
        <v>931</v>
      </c>
      <c r="F23" s="447" t="s">
        <v>753</v>
      </c>
      <c r="G23" s="381">
        <v>23</v>
      </c>
      <c r="H23" s="177">
        <f t="shared" si="0"/>
        <v>23</v>
      </c>
      <c r="I23" s="385" t="s">
        <v>643</v>
      </c>
      <c r="J23" s="377">
        <v>42095</v>
      </c>
      <c r="L23" s="219" t="s">
        <v>660</v>
      </c>
      <c r="M23" s="693">
        <v>122</v>
      </c>
      <c r="N23" s="693">
        <v>112</v>
      </c>
      <c r="O23" s="693">
        <v>234</v>
      </c>
      <c r="P23" s="693">
        <v>144</v>
      </c>
      <c r="Q23" s="693">
        <v>148</v>
      </c>
      <c r="R23" s="693">
        <v>292</v>
      </c>
      <c r="S23" s="693">
        <v>128</v>
      </c>
      <c r="T23" s="693">
        <v>127</v>
      </c>
      <c r="U23" s="693">
        <v>255</v>
      </c>
      <c r="V23" s="693">
        <v>199</v>
      </c>
      <c r="W23" s="693">
        <v>184</v>
      </c>
      <c r="X23" s="693">
        <v>383</v>
      </c>
      <c r="Y23" s="693">
        <v>445</v>
      </c>
      <c r="Z23" s="693">
        <v>434</v>
      </c>
      <c r="AA23" s="693">
        <v>879</v>
      </c>
      <c r="AB23" s="693">
        <v>92</v>
      </c>
      <c r="AC23" s="693">
        <v>65</v>
      </c>
      <c r="AD23" s="693">
        <v>157</v>
      </c>
      <c r="AE23" s="694">
        <v>2200</v>
      </c>
      <c r="AF23"/>
      <c r="AG23"/>
      <c r="AH23"/>
      <c r="AI23"/>
      <c r="AJ23"/>
      <c r="AK23"/>
      <c r="AL23"/>
      <c r="AM23"/>
      <c r="AN23"/>
      <c r="AO23"/>
      <c r="AP23"/>
      <c r="AQ23"/>
      <c r="AR23"/>
    </row>
    <row r="24" spans="1:44" ht="15" customHeight="1" x14ac:dyDescent="0.25">
      <c r="A24" s="384" t="s">
        <v>7</v>
      </c>
      <c r="B24" s="378" t="s">
        <v>14</v>
      </c>
      <c r="C24" s="385" t="s">
        <v>39</v>
      </c>
      <c r="D24" s="385" t="str">
        <f ca="1">IFERROR(OFFSET(Camp_List[P_Code],MATCH(Data_Demography_t[[#This Row],[Camp]],Camp_List[Camp Name],0)-1,0,1,1),"")</f>
        <v>MMR012CMP015</v>
      </c>
      <c r="E24" s="386" t="s">
        <v>905</v>
      </c>
      <c r="F24" s="385" t="s">
        <v>752</v>
      </c>
      <c r="G24" s="381">
        <v>1</v>
      </c>
      <c r="H24" s="177">
        <f t="shared" si="0"/>
        <v>-1</v>
      </c>
      <c r="I24" s="385" t="s">
        <v>643</v>
      </c>
      <c r="J24" s="377">
        <v>42095</v>
      </c>
      <c r="L24" s="219" t="s">
        <v>70</v>
      </c>
      <c r="M24" s="693">
        <v>564</v>
      </c>
      <c r="N24" s="693">
        <v>523</v>
      </c>
      <c r="O24" s="693">
        <v>1087</v>
      </c>
      <c r="P24" s="693">
        <v>409</v>
      </c>
      <c r="Q24" s="693">
        <v>399</v>
      </c>
      <c r="R24" s="693">
        <v>808</v>
      </c>
      <c r="S24" s="693">
        <v>470</v>
      </c>
      <c r="T24" s="693">
        <v>490</v>
      </c>
      <c r="U24" s="693">
        <v>960</v>
      </c>
      <c r="V24" s="693">
        <v>508</v>
      </c>
      <c r="W24" s="693">
        <v>399</v>
      </c>
      <c r="X24" s="693">
        <v>907</v>
      </c>
      <c r="Y24" s="693">
        <v>887</v>
      </c>
      <c r="Z24" s="693">
        <v>810</v>
      </c>
      <c r="AA24" s="693">
        <v>1697</v>
      </c>
      <c r="AB24" s="693">
        <v>97</v>
      </c>
      <c r="AC24" s="693">
        <v>100</v>
      </c>
      <c r="AD24" s="693">
        <v>197</v>
      </c>
      <c r="AE24" s="694">
        <v>5656</v>
      </c>
      <c r="AF24"/>
      <c r="AG24"/>
      <c r="AH24"/>
      <c r="AI24"/>
      <c r="AJ24"/>
      <c r="AK24"/>
      <c r="AL24"/>
      <c r="AM24"/>
      <c r="AN24"/>
      <c r="AO24"/>
      <c r="AP24"/>
      <c r="AQ24"/>
      <c r="AR24"/>
    </row>
    <row r="25" spans="1:44" x14ac:dyDescent="0.25">
      <c r="A25" s="384" t="s">
        <v>7</v>
      </c>
      <c r="B25" s="378" t="s">
        <v>14</v>
      </c>
      <c r="C25" s="385" t="s">
        <v>39</v>
      </c>
      <c r="D25" s="385" t="str">
        <f ca="1">IFERROR(OFFSET(Camp_List[P_Code],MATCH(Data_Demography_t[[#This Row],[Camp]],Camp_List[Camp Name],0)-1,0,1,1),"")</f>
        <v>MMR012CMP015</v>
      </c>
      <c r="E25" s="386" t="s">
        <v>905</v>
      </c>
      <c r="F25" s="447" t="s">
        <v>753</v>
      </c>
      <c r="G25" s="381">
        <v>2</v>
      </c>
      <c r="H25" s="177">
        <f t="shared" si="0"/>
        <v>2</v>
      </c>
      <c r="I25" s="385" t="s">
        <v>643</v>
      </c>
      <c r="J25" s="377">
        <v>42095</v>
      </c>
      <c r="L25" s="219" t="s">
        <v>78</v>
      </c>
      <c r="M25" s="697">
        <v>24</v>
      </c>
      <c r="N25" s="697">
        <v>25</v>
      </c>
      <c r="O25" s="697">
        <v>49</v>
      </c>
      <c r="P25" s="697">
        <v>34</v>
      </c>
      <c r="Q25" s="697">
        <v>39</v>
      </c>
      <c r="R25" s="697">
        <v>73</v>
      </c>
      <c r="S25" s="697">
        <v>31</v>
      </c>
      <c r="T25" s="697">
        <v>25</v>
      </c>
      <c r="U25" s="697">
        <v>56</v>
      </c>
      <c r="V25" s="697">
        <v>53</v>
      </c>
      <c r="W25" s="697">
        <v>50</v>
      </c>
      <c r="X25" s="697">
        <v>103</v>
      </c>
      <c r="Y25" s="697">
        <v>80</v>
      </c>
      <c r="Z25" s="697">
        <v>79</v>
      </c>
      <c r="AA25" s="697">
        <v>159</v>
      </c>
      <c r="AB25" s="697">
        <v>13</v>
      </c>
      <c r="AC25" s="697">
        <v>9</v>
      </c>
      <c r="AD25" s="697">
        <v>22</v>
      </c>
      <c r="AE25" s="698">
        <v>462</v>
      </c>
      <c r="AF25"/>
      <c r="AG25"/>
      <c r="AH25"/>
      <c r="AI25"/>
      <c r="AJ25"/>
      <c r="AK25"/>
      <c r="AL25"/>
      <c r="AM25"/>
      <c r="AN25"/>
      <c r="AO25"/>
      <c r="AP25"/>
      <c r="AQ25"/>
      <c r="AR25"/>
    </row>
    <row r="26" spans="1:44" x14ac:dyDescent="0.25">
      <c r="A26" s="445" t="s">
        <v>7</v>
      </c>
      <c r="B26" s="446" t="s">
        <v>19</v>
      </c>
      <c r="C26" s="467" t="s">
        <v>61</v>
      </c>
      <c r="D26" s="465" t="str">
        <f ca="1">IFERROR(OFFSET(Camp_List[P_Code],MATCH(Data_Demography_t[[#This Row],[Camp]],Camp_List[Camp Name],0)-1,0,1,1),"")</f>
        <v>MMR012CMP039</v>
      </c>
      <c r="E26" s="469" t="s">
        <v>754</v>
      </c>
      <c r="F26" s="385" t="s">
        <v>752</v>
      </c>
      <c r="G26" s="466">
        <v>263</v>
      </c>
      <c r="H26" s="467">
        <f t="shared" si="0"/>
        <v>-263</v>
      </c>
      <c r="I26" s="385" t="s">
        <v>643</v>
      </c>
      <c r="J26" s="377">
        <v>42086</v>
      </c>
      <c r="L26" s="219" t="s">
        <v>248</v>
      </c>
      <c r="M26" s="697">
        <v>63</v>
      </c>
      <c r="N26" s="697">
        <v>50</v>
      </c>
      <c r="O26" s="697">
        <v>113</v>
      </c>
      <c r="P26" s="697">
        <v>36</v>
      </c>
      <c r="Q26" s="697">
        <v>40</v>
      </c>
      <c r="R26" s="697">
        <v>76</v>
      </c>
      <c r="S26" s="697">
        <v>44</v>
      </c>
      <c r="T26" s="697">
        <v>41</v>
      </c>
      <c r="U26" s="697">
        <v>85</v>
      </c>
      <c r="V26" s="697">
        <v>51</v>
      </c>
      <c r="W26" s="697">
        <v>40</v>
      </c>
      <c r="X26" s="697">
        <v>91</v>
      </c>
      <c r="Y26" s="697">
        <v>124</v>
      </c>
      <c r="Z26" s="697">
        <v>121</v>
      </c>
      <c r="AA26" s="697">
        <v>245</v>
      </c>
      <c r="AB26" s="697">
        <v>23</v>
      </c>
      <c r="AC26" s="697">
        <v>7</v>
      </c>
      <c r="AD26" s="697">
        <v>30</v>
      </c>
      <c r="AE26" s="698">
        <v>640</v>
      </c>
      <c r="AF26"/>
      <c r="AG26"/>
      <c r="AH26"/>
      <c r="AI26"/>
      <c r="AJ26"/>
      <c r="AK26"/>
      <c r="AL26"/>
      <c r="AM26"/>
      <c r="AN26"/>
      <c r="AO26"/>
      <c r="AP26"/>
      <c r="AQ26"/>
      <c r="AR26"/>
    </row>
    <row r="27" spans="1:44" x14ac:dyDescent="0.25">
      <c r="A27" s="445" t="s">
        <v>7</v>
      </c>
      <c r="B27" s="446" t="s">
        <v>19</v>
      </c>
      <c r="C27" s="467" t="s">
        <v>61</v>
      </c>
      <c r="D27" s="465" t="str">
        <f ca="1">IFERROR(OFFSET(Camp_List[P_Code],MATCH(Data_Demography_t[[#This Row],[Camp]],Camp_List[Camp Name],0)-1,0,1,1),"")</f>
        <v>MMR012CMP039</v>
      </c>
      <c r="E27" s="469" t="s">
        <v>754</v>
      </c>
      <c r="F27" s="447" t="s">
        <v>753</v>
      </c>
      <c r="G27" s="466">
        <v>240</v>
      </c>
      <c r="H27" s="467">
        <f t="shared" si="0"/>
        <v>240</v>
      </c>
      <c r="I27" s="385" t="s">
        <v>643</v>
      </c>
      <c r="J27" s="377">
        <v>42086</v>
      </c>
      <c r="L27" s="219" t="s">
        <v>68</v>
      </c>
      <c r="M27" s="697">
        <v>951</v>
      </c>
      <c r="N27" s="697">
        <v>842</v>
      </c>
      <c r="O27" s="697">
        <v>1793</v>
      </c>
      <c r="P27" s="697">
        <v>924</v>
      </c>
      <c r="Q27" s="697">
        <v>960</v>
      </c>
      <c r="R27" s="697">
        <v>1884</v>
      </c>
      <c r="S27" s="697">
        <v>987</v>
      </c>
      <c r="T27" s="697">
        <v>1027</v>
      </c>
      <c r="U27" s="697">
        <v>2014</v>
      </c>
      <c r="V27" s="697">
        <v>1217</v>
      </c>
      <c r="W27" s="697">
        <v>1002</v>
      </c>
      <c r="X27" s="697">
        <v>2219</v>
      </c>
      <c r="Y27" s="697">
        <v>1821</v>
      </c>
      <c r="Z27" s="697">
        <v>1554</v>
      </c>
      <c r="AA27" s="697">
        <v>3375</v>
      </c>
      <c r="AB27" s="697">
        <v>170</v>
      </c>
      <c r="AC27" s="697">
        <v>208</v>
      </c>
      <c r="AD27" s="697">
        <v>378</v>
      </c>
      <c r="AE27" s="698">
        <v>11663</v>
      </c>
      <c r="AF27"/>
      <c r="AG27"/>
      <c r="AH27"/>
      <c r="AI27"/>
      <c r="AJ27"/>
      <c r="AK27"/>
      <c r="AL27"/>
      <c r="AM27"/>
      <c r="AN27"/>
      <c r="AO27"/>
      <c r="AP27"/>
      <c r="AQ27"/>
      <c r="AR27"/>
    </row>
    <row r="28" spans="1:44" x14ac:dyDescent="0.25">
      <c r="A28" s="384" t="s">
        <v>7</v>
      </c>
      <c r="B28" s="378" t="s">
        <v>19</v>
      </c>
      <c r="C28" s="385" t="s">
        <v>61</v>
      </c>
      <c r="D28" s="385" t="str">
        <f ca="1">IFERROR(OFFSET(Camp_List[P_Code],MATCH(Data_Demography_t[[#This Row],[Camp]],Camp_List[Camp Name],0)-1,0,1,1),"")</f>
        <v>MMR012CMP039</v>
      </c>
      <c r="E28" s="386" t="s">
        <v>929</v>
      </c>
      <c r="F28" s="385" t="s">
        <v>752</v>
      </c>
      <c r="G28" s="381">
        <v>145</v>
      </c>
      <c r="H28" s="177">
        <f t="shared" si="0"/>
        <v>-145</v>
      </c>
      <c r="I28" s="385" t="s">
        <v>643</v>
      </c>
      <c r="J28" s="383">
        <v>42086</v>
      </c>
      <c r="L28" s="219" t="s">
        <v>650</v>
      </c>
      <c r="M28" s="697">
        <v>419</v>
      </c>
      <c r="N28" s="697">
        <v>395</v>
      </c>
      <c r="O28" s="697">
        <v>814</v>
      </c>
      <c r="P28" s="697"/>
      <c r="Q28" s="697">
        <v>360</v>
      </c>
      <c r="R28" s="697">
        <v>360</v>
      </c>
      <c r="S28" s="697">
        <v>387</v>
      </c>
      <c r="T28" s="697">
        <v>457</v>
      </c>
      <c r="U28" s="697">
        <v>844</v>
      </c>
      <c r="V28" s="697">
        <v>872</v>
      </c>
      <c r="W28" s="697">
        <v>418</v>
      </c>
      <c r="X28" s="697">
        <v>1290</v>
      </c>
      <c r="Y28" s="697">
        <v>704</v>
      </c>
      <c r="Z28" s="697">
        <v>686</v>
      </c>
      <c r="AA28" s="697">
        <v>1390</v>
      </c>
      <c r="AB28" s="697">
        <v>78</v>
      </c>
      <c r="AC28" s="697">
        <v>75</v>
      </c>
      <c r="AD28" s="697">
        <v>153</v>
      </c>
      <c r="AE28" s="698">
        <v>4851</v>
      </c>
      <c r="AF28"/>
      <c r="AG28"/>
      <c r="AH28"/>
      <c r="AI28"/>
      <c r="AJ28"/>
      <c r="AK28"/>
      <c r="AL28"/>
      <c r="AM28"/>
      <c r="AN28"/>
      <c r="AO28"/>
      <c r="AP28"/>
      <c r="AQ28"/>
      <c r="AR28"/>
    </row>
    <row r="29" spans="1:44" x14ac:dyDescent="0.25">
      <c r="A29" s="384" t="s">
        <v>7</v>
      </c>
      <c r="B29" s="378" t="s">
        <v>19</v>
      </c>
      <c r="C29" s="385" t="s">
        <v>61</v>
      </c>
      <c r="D29" s="385" t="str">
        <f ca="1">IFERROR(OFFSET(Camp_List[P_Code],MATCH(Data_Demography_t[[#This Row],[Camp]],Camp_List[Camp Name],0)-1,0,1,1),"")</f>
        <v>MMR012CMP039</v>
      </c>
      <c r="E29" s="386" t="s">
        <v>929</v>
      </c>
      <c r="F29" s="447" t="s">
        <v>753</v>
      </c>
      <c r="G29" s="381">
        <v>136</v>
      </c>
      <c r="H29" s="177">
        <f t="shared" si="0"/>
        <v>136</v>
      </c>
      <c r="I29" s="385" t="s">
        <v>643</v>
      </c>
      <c r="J29" s="383">
        <v>42086</v>
      </c>
      <c r="L29" s="219" t="s">
        <v>651</v>
      </c>
      <c r="M29" s="696">
        <v>686</v>
      </c>
      <c r="N29" s="696">
        <v>669</v>
      </c>
      <c r="O29" s="696">
        <v>1355</v>
      </c>
      <c r="P29" s="696"/>
      <c r="Q29" s="696">
        <v>504</v>
      </c>
      <c r="R29" s="696">
        <v>504</v>
      </c>
      <c r="S29" s="696">
        <v>614</v>
      </c>
      <c r="T29" s="696">
        <v>655</v>
      </c>
      <c r="U29" s="696">
        <v>1269</v>
      </c>
      <c r="V29" s="696">
        <v>1264</v>
      </c>
      <c r="W29" s="696">
        <v>631</v>
      </c>
      <c r="X29" s="696">
        <v>1895</v>
      </c>
      <c r="Y29" s="696">
        <v>838</v>
      </c>
      <c r="Z29" s="696">
        <v>843</v>
      </c>
      <c r="AA29" s="696">
        <v>1681</v>
      </c>
      <c r="AB29" s="696">
        <v>110</v>
      </c>
      <c r="AC29" s="696">
        <v>103</v>
      </c>
      <c r="AD29" s="696">
        <v>213</v>
      </c>
      <c r="AE29" s="713">
        <v>6917</v>
      </c>
      <c r="AF29"/>
      <c r="AG29"/>
      <c r="AH29"/>
      <c r="AI29"/>
      <c r="AJ29"/>
      <c r="AK29"/>
      <c r="AL29"/>
      <c r="AM29"/>
      <c r="AN29"/>
      <c r="AO29"/>
      <c r="AP29"/>
      <c r="AQ29"/>
      <c r="AR29"/>
    </row>
    <row r="30" spans="1:44" x14ac:dyDescent="0.25">
      <c r="A30" s="384" t="s">
        <v>7</v>
      </c>
      <c r="B30" s="378" t="s">
        <v>19</v>
      </c>
      <c r="C30" s="385" t="s">
        <v>61</v>
      </c>
      <c r="D30" s="385" t="str">
        <f ca="1">IFERROR(OFFSET(Camp_List[P_Code],MATCH(Data_Demography_t[[#This Row],[Camp]],Camp_List[Camp Name],0)-1,0,1,1),"")</f>
        <v>MMR012CMP039</v>
      </c>
      <c r="E30" s="386" t="s">
        <v>679</v>
      </c>
      <c r="F30" s="385" t="s">
        <v>752</v>
      </c>
      <c r="G30" s="381">
        <v>112</v>
      </c>
      <c r="H30" s="177">
        <f t="shared" si="0"/>
        <v>-112</v>
      </c>
      <c r="I30" s="385" t="s">
        <v>643</v>
      </c>
      <c r="J30" s="383">
        <v>42086</v>
      </c>
      <c r="L30" s="739" t="s">
        <v>915</v>
      </c>
      <c r="M30" s="693">
        <v>271</v>
      </c>
      <c r="N30" s="693">
        <v>246</v>
      </c>
      <c r="O30" s="693">
        <v>517</v>
      </c>
      <c r="P30" s="693">
        <v>220</v>
      </c>
      <c r="Q30" s="693">
        <v>210</v>
      </c>
      <c r="R30" s="693">
        <v>430</v>
      </c>
      <c r="S30" s="693">
        <v>268</v>
      </c>
      <c r="T30" s="693">
        <v>251</v>
      </c>
      <c r="U30" s="693">
        <v>519</v>
      </c>
      <c r="V30" s="693">
        <v>206</v>
      </c>
      <c r="W30" s="693">
        <v>178</v>
      </c>
      <c r="X30" s="693">
        <v>384</v>
      </c>
      <c r="Y30" s="693">
        <v>509</v>
      </c>
      <c r="Z30" s="693">
        <v>420</v>
      </c>
      <c r="AA30" s="693">
        <v>929</v>
      </c>
      <c r="AB30" s="693">
        <v>55</v>
      </c>
      <c r="AC30" s="693">
        <v>65</v>
      </c>
      <c r="AD30" s="693">
        <v>120</v>
      </c>
      <c r="AE30" s="694">
        <v>2899</v>
      </c>
      <c r="AF30"/>
      <c r="AG30"/>
      <c r="AH30"/>
      <c r="AI30"/>
      <c r="AJ30"/>
      <c r="AK30"/>
      <c r="AL30"/>
      <c r="AM30"/>
      <c r="AN30"/>
      <c r="AO30"/>
      <c r="AP30"/>
      <c r="AQ30"/>
      <c r="AR30"/>
    </row>
    <row r="31" spans="1:44" x14ac:dyDescent="0.25">
      <c r="A31" s="384" t="s">
        <v>7</v>
      </c>
      <c r="B31" s="378" t="s">
        <v>19</v>
      </c>
      <c r="C31" s="385" t="s">
        <v>61</v>
      </c>
      <c r="D31" s="385" t="str">
        <f ca="1">IFERROR(OFFSET(Camp_List[P_Code],MATCH(Data_Demography_t[[#This Row],[Camp]],Camp_List[Camp Name],0)-1,0,1,1),"")</f>
        <v>MMR012CMP039</v>
      </c>
      <c r="E31" s="386" t="s">
        <v>930</v>
      </c>
      <c r="F31" s="447" t="s">
        <v>753</v>
      </c>
      <c r="G31" s="381">
        <v>114</v>
      </c>
      <c r="H31" s="177">
        <f t="shared" si="0"/>
        <v>114</v>
      </c>
      <c r="I31" s="385" t="s">
        <v>643</v>
      </c>
      <c r="J31" s="383">
        <v>42086</v>
      </c>
      <c r="L31" s="219" t="s">
        <v>37</v>
      </c>
      <c r="M31" s="697">
        <v>5</v>
      </c>
      <c r="N31" s="697">
        <v>8</v>
      </c>
      <c r="O31" s="697">
        <v>13</v>
      </c>
      <c r="P31" s="697">
        <v>11</v>
      </c>
      <c r="Q31" s="697">
        <v>17</v>
      </c>
      <c r="R31" s="697">
        <v>28</v>
      </c>
      <c r="S31" s="697">
        <v>9</v>
      </c>
      <c r="T31" s="697">
        <v>14</v>
      </c>
      <c r="U31" s="697">
        <v>23</v>
      </c>
      <c r="V31" s="697">
        <v>11</v>
      </c>
      <c r="W31" s="697">
        <v>13</v>
      </c>
      <c r="X31" s="697">
        <v>24</v>
      </c>
      <c r="Y31" s="697">
        <v>38</v>
      </c>
      <c r="Z31" s="697">
        <v>45</v>
      </c>
      <c r="AA31" s="697">
        <v>83</v>
      </c>
      <c r="AB31" s="697">
        <v>13</v>
      </c>
      <c r="AC31" s="697">
        <v>14</v>
      </c>
      <c r="AD31" s="697">
        <v>27</v>
      </c>
      <c r="AE31" s="698">
        <v>198</v>
      </c>
      <c r="AF31"/>
      <c r="AG31"/>
      <c r="AH31"/>
      <c r="AI31"/>
      <c r="AJ31"/>
      <c r="AK31"/>
      <c r="AL31"/>
      <c r="AM31"/>
      <c r="AN31"/>
      <c r="AO31"/>
      <c r="AP31"/>
      <c r="AQ31"/>
      <c r="AR31"/>
    </row>
    <row r="32" spans="1:44" x14ac:dyDescent="0.25">
      <c r="A32" s="384" t="s">
        <v>7</v>
      </c>
      <c r="B32" s="378" t="s">
        <v>19</v>
      </c>
      <c r="C32" s="385" t="s">
        <v>61</v>
      </c>
      <c r="D32" s="385" t="str">
        <f ca="1">IFERROR(OFFSET(Camp_List[P_Code],MATCH(Data_Demography_t[[#This Row],[Camp]],Camp_List[Camp Name],0)-1,0,1,1),"")</f>
        <v>MMR012CMP039</v>
      </c>
      <c r="E32" s="386" t="s">
        <v>930</v>
      </c>
      <c r="F32" s="385" t="s">
        <v>752</v>
      </c>
      <c r="G32" s="381">
        <v>151</v>
      </c>
      <c r="H32" s="177">
        <f t="shared" si="0"/>
        <v>-151</v>
      </c>
      <c r="I32" s="385" t="s">
        <v>643</v>
      </c>
      <c r="J32" s="383">
        <v>42086</v>
      </c>
      <c r="L32" s="219" t="s">
        <v>38</v>
      </c>
      <c r="M32" s="697">
        <v>266</v>
      </c>
      <c r="N32" s="697">
        <v>238</v>
      </c>
      <c r="O32" s="697">
        <v>504</v>
      </c>
      <c r="P32" s="697">
        <v>209</v>
      </c>
      <c r="Q32" s="697">
        <v>193</v>
      </c>
      <c r="R32" s="697">
        <v>402</v>
      </c>
      <c r="S32" s="697">
        <v>259</v>
      </c>
      <c r="T32" s="697">
        <v>237</v>
      </c>
      <c r="U32" s="697">
        <v>496</v>
      </c>
      <c r="V32" s="697">
        <v>195</v>
      </c>
      <c r="W32" s="697">
        <v>165</v>
      </c>
      <c r="X32" s="697">
        <v>360</v>
      </c>
      <c r="Y32" s="697">
        <v>471</v>
      </c>
      <c r="Z32" s="697">
        <v>375</v>
      </c>
      <c r="AA32" s="697">
        <v>846</v>
      </c>
      <c r="AB32" s="697">
        <v>42</v>
      </c>
      <c r="AC32" s="697">
        <v>51</v>
      </c>
      <c r="AD32" s="697">
        <v>93</v>
      </c>
      <c r="AE32" s="698">
        <v>2701</v>
      </c>
      <c r="AF32"/>
      <c r="AG32"/>
      <c r="AH32"/>
      <c r="AI32"/>
      <c r="AJ32"/>
      <c r="AK32"/>
      <c r="AL32"/>
      <c r="AM32"/>
      <c r="AN32"/>
    </row>
    <row r="33" spans="1:40" x14ac:dyDescent="0.25">
      <c r="A33" s="384" t="s">
        <v>7</v>
      </c>
      <c r="B33" s="378" t="s">
        <v>19</v>
      </c>
      <c r="C33" s="385" t="s">
        <v>61</v>
      </c>
      <c r="D33" s="385" t="str">
        <f ca="1">IFERROR(OFFSET(Camp_List[P_Code],MATCH(Data_Demography_t[[#This Row],[Camp]],Camp_List[Camp Name],0)-1,0,1,1),"")</f>
        <v>MMR012CMP039</v>
      </c>
      <c r="E33" s="386" t="s">
        <v>930</v>
      </c>
      <c r="F33" s="447" t="s">
        <v>753</v>
      </c>
      <c r="G33" s="381">
        <v>208</v>
      </c>
      <c r="H33" s="177">
        <f t="shared" si="0"/>
        <v>208</v>
      </c>
      <c r="I33" s="385" t="s">
        <v>643</v>
      </c>
      <c r="J33" s="383">
        <v>42086</v>
      </c>
      <c r="L33" s="739" t="s">
        <v>215</v>
      </c>
      <c r="M33" s="218">
        <v>11375</v>
      </c>
      <c r="N33" s="218">
        <v>11133</v>
      </c>
      <c r="O33" s="218">
        <v>22508</v>
      </c>
      <c r="P33" s="218">
        <v>6028</v>
      </c>
      <c r="Q33" s="218">
        <v>8482</v>
      </c>
      <c r="R33" s="218">
        <v>14510</v>
      </c>
      <c r="S33" s="218">
        <v>10618</v>
      </c>
      <c r="T33" s="218">
        <v>11310</v>
      </c>
      <c r="U33" s="218">
        <v>21928</v>
      </c>
      <c r="V33" s="218">
        <v>13597</v>
      </c>
      <c r="W33" s="218">
        <v>8827</v>
      </c>
      <c r="X33" s="218">
        <v>22424</v>
      </c>
      <c r="Y33" s="218">
        <v>15241</v>
      </c>
      <c r="Z33" s="218">
        <v>14289</v>
      </c>
      <c r="AA33" s="218">
        <v>29530</v>
      </c>
      <c r="AB33" s="218">
        <v>2047</v>
      </c>
      <c r="AC33" s="218">
        <v>2005</v>
      </c>
      <c r="AD33" s="218">
        <v>4052</v>
      </c>
      <c r="AE33" s="218">
        <v>114952</v>
      </c>
      <c r="AF33"/>
      <c r="AG33"/>
      <c r="AH33"/>
      <c r="AI33"/>
      <c r="AJ33"/>
      <c r="AK33"/>
      <c r="AL33"/>
      <c r="AM33"/>
      <c r="AN33"/>
    </row>
    <row r="34" spans="1:40" x14ac:dyDescent="0.25">
      <c r="A34" s="384" t="s">
        <v>7</v>
      </c>
      <c r="B34" s="378" t="s">
        <v>19</v>
      </c>
      <c r="C34" s="385" t="s">
        <v>61</v>
      </c>
      <c r="D34" s="385" t="str">
        <f ca="1">IFERROR(OFFSET(Camp_List[P_Code],MATCH(Data_Demography_t[[#This Row],[Camp]],Camp_List[Camp Name],0)-1,0,1,1),"")</f>
        <v>MMR012CMP039</v>
      </c>
      <c r="E34" s="382" t="s">
        <v>931</v>
      </c>
      <c r="F34" s="385" t="s">
        <v>752</v>
      </c>
      <c r="G34" s="381">
        <v>294</v>
      </c>
      <c r="H34" s="177">
        <f t="shared" si="0"/>
        <v>-294</v>
      </c>
      <c r="I34" s="385" t="s">
        <v>643</v>
      </c>
      <c r="J34" s="383">
        <v>42086</v>
      </c>
      <c r="P34"/>
      <c r="Q34"/>
      <c r="R34"/>
      <c r="S34"/>
      <c r="T34"/>
      <c r="U34"/>
      <c r="V34"/>
      <c r="W34"/>
      <c r="X34"/>
      <c r="Y34"/>
      <c r="Z34"/>
      <c r="AA34"/>
      <c r="AB34"/>
    </row>
    <row r="35" spans="1:40" x14ac:dyDescent="0.25">
      <c r="A35" s="384" t="s">
        <v>7</v>
      </c>
      <c r="B35" s="378" t="s">
        <v>19</v>
      </c>
      <c r="C35" s="385" t="s">
        <v>61</v>
      </c>
      <c r="D35" s="385" t="str">
        <f ca="1">IFERROR(OFFSET(Camp_List[P_Code],MATCH(Data_Demography_t[[#This Row],[Camp]],Camp_List[Camp Name],0)-1,0,1,1),"")</f>
        <v>MMR012CMP039</v>
      </c>
      <c r="E35" s="382" t="s">
        <v>931</v>
      </c>
      <c r="F35" s="447" t="s">
        <v>753</v>
      </c>
      <c r="G35" s="381">
        <v>311</v>
      </c>
      <c r="H35" s="177">
        <f t="shared" si="0"/>
        <v>311</v>
      </c>
      <c r="I35" s="385" t="s">
        <v>643</v>
      </c>
      <c r="J35" s="383">
        <v>42086</v>
      </c>
      <c r="L35" s="220" t="s">
        <v>1</v>
      </c>
      <c r="M35" s="31" t="s">
        <v>674</v>
      </c>
      <c r="P35"/>
      <c r="Q35"/>
      <c r="R35"/>
      <c r="S35"/>
      <c r="T35"/>
      <c r="U35"/>
      <c r="V35"/>
      <c r="W35"/>
      <c r="X35"/>
      <c r="Y35"/>
      <c r="Z35"/>
      <c r="AA35"/>
      <c r="AB35"/>
    </row>
    <row r="36" spans="1:40" x14ac:dyDescent="0.25">
      <c r="A36" s="384" t="s">
        <v>7</v>
      </c>
      <c r="B36" s="378" t="s">
        <v>19</v>
      </c>
      <c r="C36" s="385" t="s">
        <v>61</v>
      </c>
      <c r="D36" s="385" t="str">
        <f ca="1">IFERROR(OFFSET(Camp_List[P_Code],MATCH(Data_Demography_t[[#This Row],[Camp]],Camp_List[Camp Name],0)-1,0,1,1),"")</f>
        <v>MMR012CMP039</v>
      </c>
      <c r="E36" s="386" t="s">
        <v>905</v>
      </c>
      <c r="F36" s="385" t="s">
        <v>752</v>
      </c>
      <c r="G36" s="381">
        <v>34</v>
      </c>
      <c r="H36" s="177">
        <f t="shared" si="0"/>
        <v>-34</v>
      </c>
      <c r="I36" s="385" t="s">
        <v>643</v>
      </c>
      <c r="J36" s="383">
        <v>42086</v>
      </c>
      <c r="L36" s="317" t="s">
        <v>551</v>
      </c>
      <c r="M36" s="134" t="s">
        <v>674</v>
      </c>
      <c r="N36"/>
      <c r="O36"/>
      <c r="P36"/>
      <c r="Q36"/>
      <c r="R36"/>
      <c r="S36"/>
      <c r="T36"/>
      <c r="U36"/>
      <c r="V36"/>
      <c r="W36"/>
      <c r="X36"/>
      <c r="Y36"/>
      <c r="Z36"/>
      <c r="AA36"/>
      <c r="AB36"/>
    </row>
    <row r="37" spans="1:40" x14ac:dyDescent="0.25">
      <c r="A37" s="384" t="s">
        <v>7</v>
      </c>
      <c r="B37" s="378" t="s">
        <v>19</v>
      </c>
      <c r="C37" s="385" t="s">
        <v>61</v>
      </c>
      <c r="D37" s="385" t="str">
        <f ca="1">IFERROR(OFFSET(Camp_List[P_Code],MATCH(Data_Demography_t[[#This Row],[Camp]],Camp_List[Camp Name],0)-1,0,1,1),"")</f>
        <v>MMR012CMP039</v>
      </c>
      <c r="E37" s="386" t="s">
        <v>905</v>
      </c>
      <c r="F37" s="447" t="s">
        <v>753</v>
      </c>
      <c r="G37" s="381">
        <v>41</v>
      </c>
      <c r="H37" s="177">
        <f t="shared" si="0"/>
        <v>41</v>
      </c>
      <c r="I37" s="385" t="s">
        <v>643</v>
      </c>
      <c r="J37" s="383">
        <v>42086</v>
      </c>
      <c r="L37"/>
      <c r="M37"/>
      <c r="N37"/>
      <c r="O37"/>
      <c r="P37"/>
      <c r="Q37"/>
      <c r="R37"/>
      <c r="S37"/>
      <c r="T37"/>
      <c r="U37"/>
      <c r="V37"/>
      <c r="W37"/>
      <c r="X37"/>
      <c r="Y37"/>
      <c r="Z37"/>
      <c r="AA37"/>
      <c r="AB37"/>
    </row>
    <row r="38" spans="1:40" x14ac:dyDescent="0.25">
      <c r="A38" s="644" t="s">
        <v>7</v>
      </c>
      <c r="B38" s="645" t="s">
        <v>19</v>
      </c>
      <c r="C38" s="177" t="s">
        <v>650</v>
      </c>
      <c r="D38" s="474" t="str">
        <f ca="1">IFERROR(OFFSET(Camp_List[P_Code],MATCH(Data_Demography_t[[#This Row],[Camp]],Camp_List[Camp Name],0)-1,0,1,1),"")</f>
        <v>MMR012CMP113</v>
      </c>
      <c r="E38" s="646" t="s">
        <v>754</v>
      </c>
      <c r="F38" s="647" t="s">
        <v>752</v>
      </c>
      <c r="G38" s="381">
        <v>395</v>
      </c>
      <c r="H38" s="177">
        <f t="shared" si="0"/>
        <v>-395</v>
      </c>
      <c r="I38" s="177" t="s">
        <v>291</v>
      </c>
      <c r="J38" s="649">
        <v>42087</v>
      </c>
      <c r="L38" s="220" t="s">
        <v>764</v>
      </c>
      <c r="M38" s="220" t="s">
        <v>691</v>
      </c>
      <c r="N38" s="217"/>
      <c r="O38" s="217"/>
      <c r="P38"/>
      <c r="Q38"/>
      <c r="R38"/>
      <c r="S38"/>
      <c r="T38"/>
      <c r="U38"/>
      <c r="V38"/>
      <c r="W38"/>
      <c r="X38"/>
      <c r="Y38"/>
      <c r="Z38"/>
      <c r="AA38"/>
      <c r="AB38"/>
    </row>
    <row r="39" spans="1:40" x14ac:dyDescent="0.25">
      <c r="A39" s="644" t="s">
        <v>7</v>
      </c>
      <c r="B39" s="645" t="s">
        <v>19</v>
      </c>
      <c r="C39" s="177" t="s">
        <v>650</v>
      </c>
      <c r="D39" s="474" t="str">
        <f ca="1">IFERROR(OFFSET(Camp_List[P_Code],MATCH(Data_Demography_t[[#This Row],[Camp]],Camp_List[Camp Name],0)-1,0,1,1),"")</f>
        <v>MMR012CMP113</v>
      </c>
      <c r="E39" s="646" t="s">
        <v>754</v>
      </c>
      <c r="F39" s="647" t="s">
        <v>753</v>
      </c>
      <c r="G39" s="381">
        <v>419</v>
      </c>
      <c r="H39" s="177">
        <f t="shared" si="0"/>
        <v>419</v>
      </c>
      <c r="I39" s="177" t="s">
        <v>291</v>
      </c>
      <c r="J39" s="649">
        <v>42087</v>
      </c>
      <c r="L39" s="220" t="s">
        <v>214</v>
      </c>
      <c r="M39" s="61" t="s">
        <v>753</v>
      </c>
      <c r="N39" s="319" t="s">
        <v>752</v>
      </c>
      <c r="O39" s="319" t="s">
        <v>215</v>
      </c>
      <c r="P39"/>
      <c r="Q39"/>
      <c r="R39"/>
      <c r="S39"/>
      <c r="T39"/>
      <c r="U39"/>
      <c r="V39"/>
      <c r="W39"/>
      <c r="X39"/>
      <c r="Y39"/>
      <c r="Z39"/>
      <c r="AA39"/>
      <c r="AB39"/>
    </row>
    <row r="40" spans="1:40" x14ac:dyDescent="0.25">
      <c r="A40" s="644" t="s">
        <v>7</v>
      </c>
      <c r="B40" s="645" t="s">
        <v>19</v>
      </c>
      <c r="C40" s="177" t="s">
        <v>650</v>
      </c>
      <c r="D40" s="474" t="str">
        <f ca="1">IFERROR(OFFSET(Camp_List[P_Code],MATCH(Data_Demography_t[[#This Row],[Camp]],Camp_List[Camp Name],0)-1,0,1,1),"")</f>
        <v>MMR012CMP113</v>
      </c>
      <c r="E40" s="646" t="s">
        <v>929</v>
      </c>
      <c r="F40" s="647" t="s">
        <v>752</v>
      </c>
      <c r="G40" s="381">
        <v>457</v>
      </c>
      <c r="H40" s="177">
        <f t="shared" si="0"/>
        <v>-457</v>
      </c>
      <c r="I40" s="177" t="s">
        <v>291</v>
      </c>
      <c r="J40" s="649">
        <v>42087</v>
      </c>
      <c r="L40" s="703" t="s">
        <v>754</v>
      </c>
      <c r="M40" s="318">
        <v>11375</v>
      </c>
      <c r="N40" s="318">
        <v>-11133</v>
      </c>
      <c r="O40" s="318">
        <v>242</v>
      </c>
      <c r="P40"/>
      <c r="Q40"/>
      <c r="R40"/>
      <c r="S40"/>
      <c r="T40"/>
      <c r="U40"/>
      <c r="V40"/>
      <c r="W40"/>
      <c r="X40"/>
      <c r="Y40"/>
      <c r="Z40"/>
      <c r="AA40"/>
      <c r="AB40"/>
    </row>
    <row r="41" spans="1:40" x14ac:dyDescent="0.25">
      <c r="A41" s="644" t="s">
        <v>7</v>
      </c>
      <c r="B41" s="645" t="s">
        <v>19</v>
      </c>
      <c r="C41" s="177" t="s">
        <v>650</v>
      </c>
      <c r="D41" s="474" t="str">
        <f ca="1">IFERROR(OFFSET(Camp_List[P_Code],MATCH(Data_Demography_t[[#This Row],[Camp]],Camp_List[Camp Name],0)-1,0,1,1),"")</f>
        <v>MMR012CMP113</v>
      </c>
      <c r="E41" s="646" t="s">
        <v>929</v>
      </c>
      <c r="F41" s="647" t="s">
        <v>753</v>
      </c>
      <c r="G41" s="381">
        <v>387</v>
      </c>
      <c r="H41" s="177">
        <f t="shared" si="0"/>
        <v>387</v>
      </c>
      <c r="I41" s="177" t="s">
        <v>291</v>
      </c>
      <c r="J41" s="649">
        <v>42087</v>
      </c>
      <c r="L41" s="216" t="s">
        <v>679</v>
      </c>
      <c r="M41" s="218">
        <v>6028</v>
      </c>
      <c r="N41" s="218">
        <v>-8482</v>
      </c>
      <c r="O41" s="218">
        <v>-2454</v>
      </c>
      <c r="P41"/>
      <c r="Q41"/>
      <c r="R41"/>
    </row>
    <row r="42" spans="1:40" x14ac:dyDescent="0.25">
      <c r="A42" s="644" t="s">
        <v>7</v>
      </c>
      <c r="B42" s="645" t="s">
        <v>19</v>
      </c>
      <c r="C42" s="177" t="s">
        <v>650</v>
      </c>
      <c r="D42" s="474" t="str">
        <f ca="1">IFERROR(OFFSET(Camp_List[P_Code],MATCH(Data_Demography_t[[#This Row],[Camp]],Camp_List[Camp Name],0)-1,0,1,1),"")</f>
        <v>MMR012CMP113</v>
      </c>
      <c r="E42" s="646" t="s">
        <v>679</v>
      </c>
      <c r="F42" s="647" t="s">
        <v>752</v>
      </c>
      <c r="G42" s="381">
        <v>360</v>
      </c>
      <c r="H42" s="177">
        <f t="shared" si="0"/>
        <v>-360</v>
      </c>
      <c r="I42" s="177" t="s">
        <v>291</v>
      </c>
      <c r="J42" s="649">
        <v>42087</v>
      </c>
      <c r="L42" s="216" t="s">
        <v>929</v>
      </c>
      <c r="M42" s="218">
        <v>10618</v>
      </c>
      <c r="N42" s="218">
        <v>-11310</v>
      </c>
      <c r="O42" s="218">
        <v>-692</v>
      </c>
      <c r="P42"/>
      <c r="Q42"/>
      <c r="R42"/>
    </row>
    <row r="43" spans="1:40" x14ac:dyDescent="0.25">
      <c r="A43" s="644" t="s">
        <v>7</v>
      </c>
      <c r="B43" s="645" t="s">
        <v>19</v>
      </c>
      <c r="C43" s="177" t="s">
        <v>650</v>
      </c>
      <c r="D43" s="474" t="str">
        <f ca="1">IFERROR(OFFSET(Camp_List[P_Code],MATCH(Data_Demography_t[[#This Row],[Camp]],Camp_List[Camp Name],0)-1,0,1,1),"")</f>
        <v>MMR012CMP113</v>
      </c>
      <c r="E43" s="646" t="s">
        <v>930</v>
      </c>
      <c r="F43" s="647" t="s">
        <v>753</v>
      </c>
      <c r="G43" s="381">
        <v>359</v>
      </c>
      <c r="H43" s="177">
        <f t="shared" si="0"/>
        <v>359</v>
      </c>
      <c r="I43" s="177" t="s">
        <v>291</v>
      </c>
      <c r="J43" s="649">
        <v>42087</v>
      </c>
      <c r="L43" s="216" t="s">
        <v>930</v>
      </c>
      <c r="M43" s="218">
        <v>13597</v>
      </c>
      <c r="N43" s="218">
        <v>-8827</v>
      </c>
      <c r="O43" s="218">
        <v>4770</v>
      </c>
      <c r="P43"/>
    </row>
    <row r="44" spans="1:40" x14ac:dyDescent="0.25">
      <c r="A44" s="644" t="s">
        <v>7</v>
      </c>
      <c r="B44" s="645" t="s">
        <v>19</v>
      </c>
      <c r="C44" s="177" t="s">
        <v>650</v>
      </c>
      <c r="D44" s="474" t="str">
        <f ca="1">IFERROR(OFFSET(Camp_List[P_Code],MATCH(Data_Demography_t[[#This Row],[Camp]],Camp_List[Camp Name],0)-1,0,1,1),"")</f>
        <v>MMR012CMP113</v>
      </c>
      <c r="E44" s="646" t="s">
        <v>930</v>
      </c>
      <c r="F44" s="647" t="s">
        <v>752</v>
      </c>
      <c r="G44" s="381">
        <v>418</v>
      </c>
      <c r="H44" s="177">
        <f t="shared" si="0"/>
        <v>-418</v>
      </c>
      <c r="I44" s="177" t="s">
        <v>291</v>
      </c>
      <c r="J44" s="649">
        <v>42087</v>
      </c>
      <c r="L44" s="216" t="s">
        <v>931</v>
      </c>
      <c r="M44" s="218">
        <v>15241</v>
      </c>
      <c r="N44" s="218">
        <v>-14289</v>
      </c>
      <c r="O44" s="218">
        <v>952</v>
      </c>
      <c r="P44"/>
    </row>
    <row r="45" spans="1:40" x14ac:dyDescent="0.25">
      <c r="A45" s="644" t="s">
        <v>7</v>
      </c>
      <c r="B45" s="645" t="s">
        <v>19</v>
      </c>
      <c r="C45" s="177" t="s">
        <v>650</v>
      </c>
      <c r="D45" s="474" t="str">
        <f ca="1">IFERROR(OFFSET(Camp_List[P_Code],MATCH(Data_Demography_t[[#This Row],[Camp]],Camp_List[Camp Name],0)-1,0,1,1),"")</f>
        <v>MMR012CMP113</v>
      </c>
      <c r="E45" s="646" t="s">
        <v>930</v>
      </c>
      <c r="F45" s="647" t="s">
        <v>753</v>
      </c>
      <c r="G45" s="381">
        <v>513</v>
      </c>
      <c r="H45" s="177">
        <f t="shared" si="0"/>
        <v>513</v>
      </c>
      <c r="I45" s="177" t="s">
        <v>291</v>
      </c>
      <c r="J45" s="649">
        <v>42087</v>
      </c>
      <c r="L45" s="216" t="s">
        <v>905</v>
      </c>
      <c r="M45" s="218">
        <v>2047</v>
      </c>
      <c r="N45" s="218">
        <v>-2005</v>
      </c>
      <c r="O45" s="218">
        <v>42</v>
      </c>
      <c r="P45"/>
    </row>
    <row r="46" spans="1:40" x14ac:dyDescent="0.25">
      <c r="A46" s="644" t="s">
        <v>7</v>
      </c>
      <c r="B46" s="645" t="s">
        <v>19</v>
      </c>
      <c r="C46" s="177" t="s">
        <v>650</v>
      </c>
      <c r="D46" s="474" t="str">
        <f ca="1">IFERROR(OFFSET(Camp_List[P_Code],MATCH(Data_Demography_t[[#This Row],[Camp]],Camp_List[Camp Name],0)-1,0,1,1),"")</f>
        <v>MMR012CMP113</v>
      </c>
      <c r="E46" s="646" t="s">
        <v>931</v>
      </c>
      <c r="F46" s="647" t="s">
        <v>752</v>
      </c>
      <c r="G46" s="381">
        <v>686</v>
      </c>
      <c r="H46" s="177">
        <f t="shared" si="0"/>
        <v>-686</v>
      </c>
      <c r="I46" s="177" t="s">
        <v>291</v>
      </c>
      <c r="J46" s="649">
        <v>42087</v>
      </c>
      <c r="L46" s="703" t="s">
        <v>215</v>
      </c>
      <c r="M46" s="318">
        <v>58906</v>
      </c>
      <c r="N46" s="318">
        <v>-56046</v>
      </c>
      <c r="O46" s="318">
        <v>2860</v>
      </c>
      <c r="P46"/>
    </row>
    <row r="47" spans="1:40" x14ac:dyDescent="0.25">
      <c r="A47" s="644" t="s">
        <v>7</v>
      </c>
      <c r="B47" s="645" t="s">
        <v>19</v>
      </c>
      <c r="C47" s="177" t="s">
        <v>650</v>
      </c>
      <c r="D47" s="474" t="str">
        <f ca="1">IFERROR(OFFSET(Camp_List[P_Code],MATCH(Data_Demography_t[[#This Row],[Camp]],Camp_List[Camp Name],0)-1,0,1,1),"")</f>
        <v>MMR012CMP113</v>
      </c>
      <c r="E47" s="646" t="s">
        <v>931</v>
      </c>
      <c r="F47" s="647" t="s">
        <v>753</v>
      </c>
      <c r="G47" s="381">
        <v>704</v>
      </c>
      <c r="H47" s="177">
        <f t="shared" si="0"/>
        <v>704</v>
      </c>
      <c r="I47" s="177" t="s">
        <v>291</v>
      </c>
      <c r="J47" s="649">
        <v>42087</v>
      </c>
      <c r="L47"/>
      <c r="M47"/>
      <c r="N47"/>
      <c r="O47"/>
      <c r="P47"/>
    </row>
    <row r="48" spans="1:40" x14ac:dyDescent="0.25">
      <c r="A48" s="644" t="s">
        <v>7</v>
      </c>
      <c r="B48" s="645" t="s">
        <v>19</v>
      </c>
      <c r="C48" s="177" t="s">
        <v>650</v>
      </c>
      <c r="D48" s="474" t="str">
        <f ca="1">IFERROR(OFFSET(Camp_List[P_Code],MATCH(Data_Demography_t[[#This Row],[Camp]],Camp_List[Camp Name],0)-1,0,1,1),"")</f>
        <v>MMR012CMP113</v>
      </c>
      <c r="E48" s="646" t="s">
        <v>905</v>
      </c>
      <c r="F48" s="647" t="s">
        <v>752</v>
      </c>
      <c r="G48" s="381">
        <v>75</v>
      </c>
      <c r="H48" s="177">
        <f t="shared" si="0"/>
        <v>-75</v>
      </c>
      <c r="I48" s="177" t="s">
        <v>291</v>
      </c>
      <c r="J48" s="649">
        <v>42087</v>
      </c>
      <c r="L48"/>
      <c r="M48"/>
      <c r="N48"/>
      <c r="O48"/>
      <c r="P48"/>
    </row>
    <row r="49" spans="1:16" x14ac:dyDescent="0.25">
      <c r="A49" s="644" t="s">
        <v>7</v>
      </c>
      <c r="B49" s="645" t="s">
        <v>19</v>
      </c>
      <c r="C49" s="177" t="s">
        <v>650</v>
      </c>
      <c r="D49" s="474" t="str">
        <f ca="1">IFERROR(OFFSET(Camp_List[P_Code],MATCH(Data_Demography_t[[#This Row],[Camp]],Camp_List[Camp Name],0)-1,0,1,1),"")</f>
        <v>MMR012CMP113</v>
      </c>
      <c r="E49" s="646" t="s">
        <v>905</v>
      </c>
      <c r="F49" s="647" t="s">
        <v>753</v>
      </c>
      <c r="G49" s="381">
        <v>78</v>
      </c>
      <c r="H49" s="177">
        <f t="shared" si="0"/>
        <v>78</v>
      </c>
      <c r="I49" s="177" t="s">
        <v>291</v>
      </c>
      <c r="J49" s="649">
        <v>42087</v>
      </c>
      <c r="L49"/>
      <c r="M49"/>
      <c r="N49"/>
      <c r="O49"/>
      <c r="P49"/>
    </row>
    <row r="50" spans="1:16" x14ac:dyDescent="0.25">
      <c r="A50" s="644" t="s">
        <v>7</v>
      </c>
      <c r="B50" s="645" t="s">
        <v>19</v>
      </c>
      <c r="C50" s="177" t="s">
        <v>651</v>
      </c>
      <c r="D50" s="474" t="str">
        <f ca="1">IFERROR(OFFSET(Camp_List[P_Code],MATCH(Data_Demography_t[[#This Row],[Camp]],Camp_List[Camp Name],0)-1,0,1,1),"")</f>
        <v>MMR012CMP114</v>
      </c>
      <c r="E50" s="646" t="s">
        <v>754</v>
      </c>
      <c r="F50" s="647" t="s">
        <v>752</v>
      </c>
      <c r="G50" s="381">
        <v>669</v>
      </c>
      <c r="H50" s="177">
        <f t="shared" si="0"/>
        <v>-669</v>
      </c>
      <c r="I50" s="177" t="s">
        <v>291</v>
      </c>
      <c r="J50" s="649">
        <v>42088</v>
      </c>
      <c r="L50"/>
      <c r="M50"/>
      <c r="N50"/>
      <c r="O50"/>
      <c r="P50"/>
    </row>
    <row r="51" spans="1:16" x14ac:dyDescent="0.25">
      <c r="A51" s="644" t="s">
        <v>7</v>
      </c>
      <c r="B51" s="645" t="s">
        <v>19</v>
      </c>
      <c r="C51" s="177" t="s">
        <v>651</v>
      </c>
      <c r="D51" s="474" t="str">
        <f ca="1">IFERROR(OFFSET(Camp_List[P_Code],MATCH(Data_Demography_t[[#This Row],[Camp]],Camp_List[Camp Name],0)-1,0,1,1),"")</f>
        <v>MMR012CMP114</v>
      </c>
      <c r="E51" s="646" t="s">
        <v>754</v>
      </c>
      <c r="F51" s="647" t="s">
        <v>753</v>
      </c>
      <c r="G51" s="381">
        <v>686</v>
      </c>
      <c r="H51" s="177">
        <f t="shared" si="0"/>
        <v>686</v>
      </c>
      <c r="I51" s="177" t="s">
        <v>291</v>
      </c>
      <c r="J51" s="649">
        <v>42088</v>
      </c>
      <c r="L51"/>
      <c r="M51"/>
      <c r="N51"/>
      <c r="O51"/>
      <c r="P51"/>
    </row>
    <row r="52" spans="1:16" x14ac:dyDescent="0.25">
      <c r="A52" s="644" t="s">
        <v>7</v>
      </c>
      <c r="B52" s="645" t="s">
        <v>19</v>
      </c>
      <c r="C52" s="177" t="s">
        <v>651</v>
      </c>
      <c r="D52" s="474" t="str">
        <f ca="1">IFERROR(OFFSET(Camp_List[P_Code],MATCH(Data_Demography_t[[#This Row],[Camp]],Camp_List[Camp Name],0)-1,0,1,1),"")</f>
        <v>MMR012CMP114</v>
      </c>
      <c r="E52" s="646" t="s">
        <v>929</v>
      </c>
      <c r="F52" s="647" t="s">
        <v>752</v>
      </c>
      <c r="G52" s="381">
        <v>655</v>
      </c>
      <c r="H52" s="177">
        <f t="shared" si="0"/>
        <v>-655</v>
      </c>
      <c r="I52" s="177" t="s">
        <v>291</v>
      </c>
      <c r="J52" s="649">
        <v>42088</v>
      </c>
    </row>
    <row r="53" spans="1:16" x14ac:dyDescent="0.25">
      <c r="A53" s="644" t="s">
        <v>7</v>
      </c>
      <c r="B53" s="645" t="s">
        <v>19</v>
      </c>
      <c r="C53" s="177" t="s">
        <v>651</v>
      </c>
      <c r="D53" s="474" t="str">
        <f ca="1">IFERROR(OFFSET(Camp_List[P_Code],MATCH(Data_Demography_t[[#This Row],[Camp]],Camp_List[Camp Name],0)-1,0,1,1),"")</f>
        <v>MMR012CMP114</v>
      </c>
      <c r="E53" s="646" t="s">
        <v>929</v>
      </c>
      <c r="F53" s="647" t="s">
        <v>753</v>
      </c>
      <c r="G53" s="381">
        <v>614</v>
      </c>
      <c r="H53" s="177">
        <f t="shared" si="0"/>
        <v>614</v>
      </c>
      <c r="I53" s="648" t="s">
        <v>291</v>
      </c>
      <c r="J53" s="649">
        <v>42088</v>
      </c>
    </row>
    <row r="54" spans="1:16" x14ac:dyDescent="0.25">
      <c r="A54" s="644" t="s">
        <v>7</v>
      </c>
      <c r="B54" s="645" t="s">
        <v>19</v>
      </c>
      <c r="C54" s="177" t="s">
        <v>651</v>
      </c>
      <c r="D54" s="474" t="str">
        <f ca="1">IFERROR(OFFSET(Camp_List[P_Code],MATCH(Data_Demography_t[[#This Row],[Camp]],Camp_List[Camp Name],0)-1,0,1,1),"")</f>
        <v>MMR012CMP114</v>
      </c>
      <c r="E54" s="646" t="s">
        <v>679</v>
      </c>
      <c r="F54" s="647" t="s">
        <v>752</v>
      </c>
      <c r="G54" s="381">
        <v>504</v>
      </c>
      <c r="H54" s="177">
        <f t="shared" si="0"/>
        <v>-504</v>
      </c>
      <c r="I54" s="648" t="s">
        <v>291</v>
      </c>
      <c r="J54" s="649">
        <v>42088</v>
      </c>
    </row>
    <row r="55" spans="1:16" x14ac:dyDescent="0.25">
      <c r="A55" s="644" t="s">
        <v>7</v>
      </c>
      <c r="B55" s="645" t="s">
        <v>19</v>
      </c>
      <c r="C55" s="177" t="s">
        <v>651</v>
      </c>
      <c r="D55" s="474" t="str">
        <f ca="1">IFERROR(OFFSET(Camp_List[P_Code],MATCH(Data_Demography_t[[#This Row],[Camp]],Camp_List[Camp Name],0)-1,0,1,1),"")</f>
        <v>MMR012CMP114</v>
      </c>
      <c r="E55" s="646" t="s">
        <v>930</v>
      </c>
      <c r="F55" s="647" t="s">
        <v>753</v>
      </c>
      <c r="G55" s="381">
        <v>498</v>
      </c>
      <c r="H55" s="177">
        <f t="shared" si="0"/>
        <v>498</v>
      </c>
      <c r="I55" s="648" t="s">
        <v>291</v>
      </c>
      <c r="J55" s="649">
        <v>42088</v>
      </c>
    </row>
    <row r="56" spans="1:16" x14ac:dyDescent="0.25">
      <c r="A56" s="644" t="s">
        <v>7</v>
      </c>
      <c r="B56" s="645" t="s">
        <v>19</v>
      </c>
      <c r="C56" s="177" t="s">
        <v>651</v>
      </c>
      <c r="D56" s="474" t="str">
        <f ca="1">IFERROR(OFFSET(Camp_List[P_Code],MATCH(Data_Demography_t[[#This Row],[Camp]],Camp_List[Camp Name],0)-1,0,1,1),"")</f>
        <v>MMR012CMP114</v>
      </c>
      <c r="E56" s="646" t="s">
        <v>930</v>
      </c>
      <c r="F56" s="647" t="s">
        <v>752</v>
      </c>
      <c r="G56" s="381">
        <v>631</v>
      </c>
      <c r="H56" s="177">
        <f t="shared" si="0"/>
        <v>-631</v>
      </c>
      <c r="I56" s="648" t="s">
        <v>291</v>
      </c>
      <c r="J56" s="649">
        <v>42088</v>
      </c>
    </row>
    <row r="57" spans="1:16" x14ac:dyDescent="0.25">
      <c r="A57" s="644" t="s">
        <v>7</v>
      </c>
      <c r="B57" s="645" t="s">
        <v>19</v>
      </c>
      <c r="C57" s="177" t="s">
        <v>651</v>
      </c>
      <c r="D57" s="474" t="str">
        <f ca="1">IFERROR(OFFSET(Camp_List[P_Code],MATCH(Data_Demography_t[[#This Row],[Camp]],Camp_List[Camp Name],0)-1,0,1,1),"")</f>
        <v>MMR012CMP114</v>
      </c>
      <c r="E57" s="646" t="s">
        <v>930</v>
      </c>
      <c r="F57" s="647" t="s">
        <v>753</v>
      </c>
      <c r="G57" s="381">
        <v>766</v>
      </c>
      <c r="H57" s="177">
        <f t="shared" si="0"/>
        <v>766</v>
      </c>
      <c r="I57" s="648" t="s">
        <v>291</v>
      </c>
      <c r="J57" s="649">
        <v>42088</v>
      </c>
    </row>
    <row r="58" spans="1:16" x14ac:dyDescent="0.25">
      <c r="A58" s="644" t="s">
        <v>7</v>
      </c>
      <c r="B58" s="645" t="s">
        <v>19</v>
      </c>
      <c r="C58" s="177" t="s">
        <v>651</v>
      </c>
      <c r="D58" s="474" t="str">
        <f ca="1">IFERROR(OFFSET(Camp_List[P_Code],MATCH(Data_Demography_t[[#This Row],[Camp]],Camp_List[Camp Name],0)-1,0,1,1),"")</f>
        <v>MMR012CMP114</v>
      </c>
      <c r="E58" s="646" t="s">
        <v>931</v>
      </c>
      <c r="F58" s="647" t="s">
        <v>752</v>
      </c>
      <c r="G58" s="381">
        <v>843</v>
      </c>
      <c r="H58" s="177">
        <f t="shared" si="0"/>
        <v>-843</v>
      </c>
      <c r="I58" s="648" t="s">
        <v>291</v>
      </c>
      <c r="J58" s="649">
        <v>42088</v>
      </c>
    </row>
    <row r="59" spans="1:16" x14ac:dyDescent="0.25">
      <c r="A59" s="644" t="s">
        <v>7</v>
      </c>
      <c r="B59" s="645" t="s">
        <v>19</v>
      </c>
      <c r="C59" s="177" t="s">
        <v>651</v>
      </c>
      <c r="D59" s="474" t="str">
        <f ca="1">IFERROR(OFFSET(Camp_List[P_Code],MATCH(Data_Demography_t[[#This Row],[Camp]],Camp_List[Camp Name],0)-1,0,1,1),"")</f>
        <v>MMR012CMP114</v>
      </c>
      <c r="E59" s="646" t="s">
        <v>931</v>
      </c>
      <c r="F59" s="647" t="s">
        <v>753</v>
      </c>
      <c r="G59" s="381">
        <v>838</v>
      </c>
      <c r="H59" s="177">
        <f t="shared" si="0"/>
        <v>838</v>
      </c>
      <c r="I59" s="648" t="s">
        <v>291</v>
      </c>
      <c r="J59" s="649">
        <v>42088</v>
      </c>
    </row>
    <row r="60" spans="1:16" x14ac:dyDescent="0.25">
      <c r="A60" s="644" t="s">
        <v>7</v>
      </c>
      <c r="B60" s="645" t="s">
        <v>19</v>
      </c>
      <c r="C60" s="177" t="s">
        <v>651</v>
      </c>
      <c r="D60" s="474" t="str">
        <f ca="1">IFERROR(OFFSET(Camp_List[P_Code],MATCH(Data_Demography_t[[#This Row],[Camp]],Camp_List[Camp Name],0)-1,0,1,1),"")</f>
        <v>MMR012CMP114</v>
      </c>
      <c r="E60" s="646" t="s">
        <v>905</v>
      </c>
      <c r="F60" s="647" t="s">
        <v>752</v>
      </c>
      <c r="G60" s="381">
        <v>103</v>
      </c>
      <c r="H60" s="177">
        <f t="shared" si="0"/>
        <v>-103</v>
      </c>
      <c r="I60" s="648" t="s">
        <v>291</v>
      </c>
      <c r="J60" s="649">
        <v>42088</v>
      </c>
    </row>
    <row r="61" spans="1:16" x14ac:dyDescent="0.25">
      <c r="A61" s="644" t="s">
        <v>7</v>
      </c>
      <c r="B61" s="645" t="s">
        <v>19</v>
      </c>
      <c r="C61" s="177" t="s">
        <v>651</v>
      </c>
      <c r="D61" s="474" t="str">
        <f ca="1">IFERROR(OFFSET(Camp_List[P_Code],MATCH(Data_Demography_t[[#This Row],[Camp]],Camp_List[Camp Name],0)-1,0,1,1),"")</f>
        <v>MMR012CMP114</v>
      </c>
      <c r="E61" s="646" t="s">
        <v>905</v>
      </c>
      <c r="F61" s="647" t="s">
        <v>753</v>
      </c>
      <c r="G61" s="381">
        <v>110</v>
      </c>
      <c r="H61" s="177">
        <f t="shared" si="0"/>
        <v>110</v>
      </c>
      <c r="I61" s="648" t="s">
        <v>291</v>
      </c>
      <c r="J61" s="649">
        <v>42088</v>
      </c>
    </row>
    <row r="62" spans="1:16" x14ac:dyDescent="0.25">
      <c r="A62" s="445" t="s">
        <v>7</v>
      </c>
      <c r="B62" s="446" t="s">
        <v>19</v>
      </c>
      <c r="C62" s="449" t="s">
        <v>63</v>
      </c>
      <c r="D62" s="474" t="str">
        <f ca="1">IFERROR(OFFSET(Camp_List[P_Code],MATCH(Data_Demography_t[[#This Row],[Camp]],Camp_List[Camp Name],0)-1,0,1,1),"")</f>
        <v>MMR012CMP041</v>
      </c>
      <c r="E62" s="469" t="s">
        <v>754</v>
      </c>
      <c r="F62" s="451" t="s">
        <v>752</v>
      </c>
      <c r="G62" s="381">
        <v>652</v>
      </c>
      <c r="H62" s="177">
        <f t="shared" si="0"/>
        <v>-652</v>
      </c>
      <c r="I62" s="702" t="s">
        <v>291</v>
      </c>
      <c r="J62" s="383">
        <v>42082</v>
      </c>
    </row>
    <row r="63" spans="1:16" x14ac:dyDescent="0.25">
      <c r="A63" s="445" t="s">
        <v>7</v>
      </c>
      <c r="B63" s="446" t="s">
        <v>19</v>
      </c>
      <c r="C63" s="449" t="s">
        <v>63</v>
      </c>
      <c r="D63" s="449" t="str">
        <f ca="1">IFERROR(OFFSET(Camp_List[P_Code],MATCH(Data_Demography_t[[#This Row],[Camp]],Camp_List[Camp Name],0)-1,0,1,1),"")</f>
        <v>MMR012CMP041</v>
      </c>
      <c r="E63" s="469" t="s">
        <v>754</v>
      </c>
      <c r="F63" s="451" t="s">
        <v>753</v>
      </c>
      <c r="G63" s="402">
        <v>708</v>
      </c>
      <c r="H63" s="177">
        <f t="shared" si="0"/>
        <v>708</v>
      </c>
      <c r="I63" s="449" t="s">
        <v>291</v>
      </c>
      <c r="J63" s="383">
        <v>42082</v>
      </c>
    </row>
    <row r="64" spans="1:16" x14ac:dyDescent="0.25">
      <c r="A64" s="384" t="s">
        <v>7</v>
      </c>
      <c r="B64" s="378" t="s">
        <v>19</v>
      </c>
      <c r="C64" s="385" t="s">
        <v>63</v>
      </c>
      <c r="D64" s="385" t="str">
        <f ca="1">IFERROR(OFFSET(Camp_List[P_Code],MATCH(Data_Demography_t[[#This Row],[Camp]],Camp_List[Camp Name],0)-1,0,1,1),"")</f>
        <v>MMR012CMP041</v>
      </c>
      <c r="E64" s="386" t="s">
        <v>929</v>
      </c>
      <c r="F64" s="385" t="s">
        <v>752</v>
      </c>
      <c r="G64" s="381">
        <v>809</v>
      </c>
      <c r="H64" s="177">
        <f t="shared" si="0"/>
        <v>-809</v>
      </c>
      <c r="I64" s="385" t="s">
        <v>291</v>
      </c>
      <c r="J64" s="377">
        <v>42082</v>
      </c>
      <c r="L64"/>
      <c r="M64"/>
    </row>
    <row r="65" spans="1:13" x14ac:dyDescent="0.25">
      <c r="A65" s="384" t="s">
        <v>7</v>
      </c>
      <c r="B65" s="378" t="s">
        <v>19</v>
      </c>
      <c r="C65" s="385" t="s">
        <v>63</v>
      </c>
      <c r="D65" s="385" t="str">
        <f ca="1">IFERROR(OFFSET(Camp_List[P_Code],MATCH(Data_Demography_t[[#This Row],[Camp]],Camp_List[Camp Name],0)-1,0,1,1),"")</f>
        <v>MMR012CMP041</v>
      </c>
      <c r="E65" s="386" t="s">
        <v>929</v>
      </c>
      <c r="F65" s="447" t="s">
        <v>753</v>
      </c>
      <c r="G65" s="381">
        <v>802</v>
      </c>
      <c r="H65" s="177">
        <f t="shared" si="0"/>
        <v>802</v>
      </c>
      <c r="I65" s="385" t="s">
        <v>291</v>
      </c>
      <c r="J65" s="377">
        <v>42082</v>
      </c>
      <c r="L65"/>
      <c r="M65"/>
    </row>
    <row r="66" spans="1:13" x14ac:dyDescent="0.25">
      <c r="A66" s="384" t="s">
        <v>7</v>
      </c>
      <c r="B66" s="378" t="s">
        <v>19</v>
      </c>
      <c r="C66" s="385" t="s">
        <v>63</v>
      </c>
      <c r="D66" s="385" t="str">
        <f ca="1">IFERROR(OFFSET(Camp_List[P_Code],MATCH(Data_Demography_t[[#This Row],[Camp]],Camp_List[Camp Name],0)-1,0,1,1),"")</f>
        <v>MMR012CMP041</v>
      </c>
      <c r="E66" s="386" t="s">
        <v>679</v>
      </c>
      <c r="F66" s="385" t="s">
        <v>752</v>
      </c>
      <c r="G66" s="381">
        <v>648</v>
      </c>
      <c r="H66" s="177">
        <f t="shared" ref="H66:H129" si="1">IF(F66="M",-G66,G66)</f>
        <v>-648</v>
      </c>
      <c r="I66" s="385" t="s">
        <v>291</v>
      </c>
      <c r="J66" s="377">
        <v>42082</v>
      </c>
      <c r="L66"/>
      <c r="M66"/>
    </row>
    <row r="67" spans="1:13" x14ac:dyDescent="0.25">
      <c r="A67" s="384" t="s">
        <v>7</v>
      </c>
      <c r="B67" s="378" t="s">
        <v>19</v>
      </c>
      <c r="C67" s="385" t="s">
        <v>63</v>
      </c>
      <c r="D67" s="385" t="str">
        <f ca="1">IFERROR(OFFSET(Camp_List[P_Code],MATCH(Data_Demography_t[[#This Row],[Camp]],Camp_List[Camp Name],0)-1,0,1,1),"")</f>
        <v>MMR012CMP041</v>
      </c>
      <c r="E67" s="386" t="s">
        <v>930</v>
      </c>
      <c r="F67" s="447" t="s">
        <v>753</v>
      </c>
      <c r="G67" s="381">
        <v>629</v>
      </c>
      <c r="H67" s="177">
        <f t="shared" si="1"/>
        <v>629</v>
      </c>
      <c r="I67" s="385" t="s">
        <v>291</v>
      </c>
      <c r="J67" s="377">
        <v>42082</v>
      </c>
      <c r="L67"/>
      <c r="M67"/>
    </row>
    <row r="68" spans="1:13" x14ac:dyDescent="0.25">
      <c r="A68" s="384" t="s">
        <v>7</v>
      </c>
      <c r="B68" s="378" t="s">
        <v>19</v>
      </c>
      <c r="C68" s="385" t="s">
        <v>63</v>
      </c>
      <c r="D68" s="385" t="str">
        <f ca="1">IFERROR(OFFSET(Camp_List[P_Code],MATCH(Data_Demography_t[[#This Row],[Camp]],Camp_List[Camp Name],0)-1,0,1,1),"")</f>
        <v>MMR012CMP041</v>
      </c>
      <c r="E68" s="386" t="s">
        <v>930</v>
      </c>
      <c r="F68" s="385" t="s">
        <v>752</v>
      </c>
      <c r="G68" s="381">
        <v>727</v>
      </c>
      <c r="H68" s="177">
        <f t="shared" si="1"/>
        <v>-727</v>
      </c>
      <c r="I68" s="385" t="s">
        <v>291</v>
      </c>
      <c r="J68" s="377">
        <v>42082</v>
      </c>
      <c r="L68"/>
      <c r="M68"/>
    </row>
    <row r="69" spans="1:13" x14ac:dyDescent="0.25">
      <c r="A69" s="384" t="s">
        <v>7</v>
      </c>
      <c r="B69" s="378" t="s">
        <v>19</v>
      </c>
      <c r="C69" s="385" t="s">
        <v>63</v>
      </c>
      <c r="D69" s="385" t="str">
        <f ca="1">IFERROR(OFFSET(Camp_List[P_Code],MATCH(Data_Demography_t[[#This Row],[Camp]],Camp_List[Camp Name],0)-1,0,1,1),"")</f>
        <v>MMR012CMP041</v>
      </c>
      <c r="E69" s="386" t="s">
        <v>930</v>
      </c>
      <c r="F69" s="447" t="s">
        <v>753</v>
      </c>
      <c r="G69" s="381">
        <v>876</v>
      </c>
      <c r="H69" s="177">
        <f t="shared" si="1"/>
        <v>876</v>
      </c>
      <c r="I69" s="385" t="s">
        <v>291</v>
      </c>
      <c r="J69" s="377">
        <v>42082</v>
      </c>
      <c r="L69"/>
      <c r="M69"/>
    </row>
    <row r="70" spans="1:13" x14ac:dyDescent="0.25">
      <c r="A70" s="384" t="s">
        <v>7</v>
      </c>
      <c r="B70" s="378" t="s">
        <v>19</v>
      </c>
      <c r="C70" s="385" t="s">
        <v>63</v>
      </c>
      <c r="D70" s="385" t="str">
        <f ca="1">IFERROR(OFFSET(Camp_List[P_Code],MATCH(Data_Demography_t[[#This Row],[Camp]],Camp_List[Camp Name],0)-1,0,1,1),"")</f>
        <v>MMR012CMP041</v>
      </c>
      <c r="E70" s="382" t="s">
        <v>931</v>
      </c>
      <c r="F70" s="385" t="s">
        <v>752</v>
      </c>
      <c r="G70" s="381">
        <v>971</v>
      </c>
      <c r="H70" s="177">
        <f t="shared" si="1"/>
        <v>-971</v>
      </c>
      <c r="I70" s="385" t="s">
        <v>291</v>
      </c>
      <c r="J70" s="377">
        <v>42082</v>
      </c>
      <c r="L70"/>
      <c r="M70"/>
    </row>
    <row r="71" spans="1:13" x14ac:dyDescent="0.25">
      <c r="A71" s="384" t="s">
        <v>7</v>
      </c>
      <c r="B71" s="378" t="s">
        <v>19</v>
      </c>
      <c r="C71" s="385" t="s">
        <v>63</v>
      </c>
      <c r="D71" s="385" t="str">
        <f ca="1">IFERROR(OFFSET(Camp_List[P_Code],MATCH(Data_Demography_t[[#This Row],[Camp]],Camp_List[Camp Name],0)-1,0,1,1),"")</f>
        <v>MMR012CMP041</v>
      </c>
      <c r="E71" s="382" t="s">
        <v>931</v>
      </c>
      <c r="F71" s="447" t="s">
        <v>753</v>
      </c>
      <c r="G71" s="381">
        <v>1057</v>
      </c>
      <c r="H71" s="177">
        <f t="shared" si="1"/>
        <v>1057</v>
      </c>
      <c r="I71" s="385" t="s">
        <v>291</v>
      </c>
      <c r="J71" s="377">
        <v>42082</v>
      </c>
      <c r="L71"/>
      <c r="M71"/>
    </row>
    <row r="72" spans="1:13" x14ac:dyDescent="0.25">
      <c r="A72" s="384" t="s">
        <v>7</v>
      </c>
      <c r="B72" s="378" t="s">
        <v>19</v>
      </c>
      <c r="C72" s="385" t="s">
        <v>63</v>
      </c>
      <c r="D72" s="385" t="str">
        <f ca="1">IFERROR(OFFSET(Camp_List[P_Code],MATCH(Data_Demography_t[[#This Row],[Camp]],Camp_List[Camp Name],0)-1,0,1,1),"")</f>
        <v>MMR012CMP041</v>
      </c>
      <c r="E72" s="386" t="s">
        <v>905</v>
      </c>
      <c r="F72" s="385" t="s">
        <v>752</v>
      </c>
      <c r="G72" s="381">
        <v>151</v>
      </c>
      <c r="H72" s="177">
        <f t="shared" si="1"/>
        <v>-151</v>
      </c>
      <c r="I72" s="385" t="s">
        <v>291</v>
      </c>
      <c r="J72" s="377">
        <v>42082</v>
      </c>
      <c r="L72"/>
      <c r="M72"/>
    </row>
    <row r="73" spans="1:13" x14ac:dyDescent="0.25">
      <c r="A73" s="384" t="s">
        <v>7</v>
      </c>
      <c r="B73" s="378" t="s">
        <v>19</v>
      </c>
      <c r="C73" s="385" t="s">
        <v>63</v>
      </c>
      <c r="D73" s="385" t="str">
        <f ca="1">IFERROR(OFFSET(Camp_List[P_Code],MATCH(Data_Demography_t[[#This Row],[Camp]],Camp_List[Camp Name],0)-1,0,1,1),"")</f>
        <v>MMR012CMP041</v>
      </c>
      <c r="E73" s="386" t="s">
        <v>905</v>
      </c>
      <c r="F73" s="447" t="s">
        <v>753</v>
      </c>
      <c r="G73" s="381">
        <v>159</v>
      </c>
      <c r="H73" s="177">
        <f t="shared" si="1"/>
        <v>159</v>
      </c>
      <c r="I73" s="385" t="s">
        <v>291</v>
      </c>
      <c r="J73" s="377">
        <v>42082</v>
      </c>
      <c r="L73"/>
      <c r="M73"/>
    </row>
    <row r="74" spans="1:13" x14ac:dyDescent="0.25">
      <c r="A74" s="384" t="s">
        <v>7</v>
      </c>
      <c r="B74" s="435" t="s">
        <v>915</v>
      </c>
      <c r="C74" s="447" t="s">
        <v>37</v>
      </c>
      <c r="D74" s="385" t="str">
        <f ca="1">IFERROR(OFFSET(Camp_List[P_Code],MATCH(Data_Demography_t[[#This Row],[Camp]],Camp_List[Camp Name],0)-1,0,1,1),"")</f>
        <v>MMR012CMP013</v>
      </c>
      <c r="E74" s="411" t="s">
        <v>754</v>
      </c>
      <c r="F74" s="409" t="s">
        <v>752</v>
      </c>
      <c r="G74" s="381">
        <v>8</v>
      </c>
      <c r="H74" s="177">
        <f t="shared" si="1"/>
        <v>-8</v>
      </c>
      <c r="I74" s="447" t="s">
        <v>733</v>
      </c>
      <c r="J74" s="403">
        <v>42130</v>
      </c>
    </row>
    <row r="75" spans="1:13" x14ac:dyDescent="0.25">
      <c r="A75" s="384" t="s">
        <v>7</v>
      </c>
      <c r="B75" s="435" t="s">
        <v>915</v>
      </c>
      <c r="C75" s="447" t="s">
        <v>37</v>
      </c>
      <c r="D75" s="385" t="str">
        <f ca="1">IFERROR(OFFSET(Camp_List[P_Code],MATCH(Data_Demography_t[[#This Row],[Camp]],Camp_List[Camp Name],0)-1,0,1,1),"")</f>
        <v>MMR012CMP013</v>
      </c>
      <c r="E75" s="411" t="s">
        <v>754</v>
      </c>
      <c r="F75" s="409" t="s">
        <v>753</v>
      </c>
      <c r="G75" s="381">
        <v>5</v>
      </c>
      <c r="H75" s="177">
        <f t="shared" si="1"/>
        <v>5</v>
      </c>
      <c r="I75" s="447" t="s">
        <v>733</v>
      </c>
      <c r="J75" s="403">
        <v>42130</v>
      </c>
    </row>
    <row r="76" spans="1:13" x14ac:dyDescent="0.25">
      <c r="A76" s="445" t="s">
        <v>7</v>
      </c>
      <c r="B76" s="446" t="s">
        <v>915</v>
      </c>
      <c r="C76" s="449" t="s">
        <v>37</v>
      </c>
      <c r="D76" s="449" t="str">
        <f ca="1">IFERROR(OFFSET(Camp_List[P_Code],MATCH(Data_Demography_t[[#This Row],[Camp]],Camp_List[Camp Name],0)-1,0,1,1),"")</f>
        <v>MMR012CMP013</v>
      </c>
      <c r="E76" s="386" t="s">
        <v>929</v>
      </c>
      <c r="F76" s="451" t="s">
        <v>752</v>
      </c>
      <c r="G76" s="402">
        <v>14</v>
      </c>
      <c r="H76" s="177">
        <f t="shared" si="1"/>
        <v>-14</v>
      </c>
      <c r="I76" s="449" t="s">
        <v>733</v>
      </c>
      <c r="J76" s="383">
        <v>42130</v>
      </c>
      <c r="L76"/>
      <c r="M76"/>
    </row>
    <row r="77" spans="1:13" x14ac:dyDescent="0.25">
      <c r="A77" s="445" t="s">
        <v>7</v>
      </c>
      <c r="B77" s="446" t="s">
        <v>915</v>
      </c>
      <c r="C77" s="449" t="s">
        <v>37</v>
      </c>
      <c r="D77" s="449" t="str">
        <f ca="1">IFERROR(OFFSET(Camp_List[P_Code],MATCH(Data_Demography_t[[#This Row],[Camp]],Camp_List[Camp Name],0)-1,0,1,1),"")</f>
        <v>MMR012CMP013</v>
      </c>
      <c r="E77" s="386" t="s">
        <v>929</v>
      </c>
      <c r="F77" s="451" t="s">
        <v>753</v>
      </c>
      <c r="G77" s="402">
        <v>9</v>
      </c>
      <c r="H77" s="177">
        <f t="shared" si="1"/>
        <v>9</v>
      </c>
      <c r="I77" s="449" t="s">
        <v>733</v>
      </c>
      <c r="J77" s="383">
        <v>42130</v>
      </c>
      <c r="L77"/>
      <c r="M77"/>
    </row>
    <row r="78" spans="1:13" x14ac:dyDescent="0.25">
      <c r="A78" s="445" t="s">
        <v>7</v>
      </c>
      <c r="B78" s="446" t="s">
        <v>915</v>
      </c>
      <c r="C78" s="449" t="s">
        <v>37</v>
      </c>
      <c r="D78" s="449" t="str">
        <f ca="1">IFERROR(OFFSET(Camp_List[P_Code],MATCH(Data_Demography_t[[#This Row],[Camp]],Camp_List[Camp Name],0)-1,0,1,1),"")</f>
        <v>MMR012CMP013</v>
      </c>
      <c r="E78" s="386" t="s">
        <v>679</v>
      </c>
      <c r="F78" s="451" t="s">
        <v>752</v>
      </c>
      <c r="G78" s="402">
        <v>17</v>
      </c>
      <c r="H78" s="177">
        <f t="shared" si="1"/>
        <v>-17</v>
      </c>
      <c r="I78" s="449" t="s">
        <v>733</v>
      </c>
      <c r="J78" s="383">
        <v>42130</v>
      </c>
      <c r="L78"/>
      <c r="M78"/>
    </row>
    <row r="79" spans="1:13" x14ac:dyDescent="0.25">
      <c r="A79" s="445" t="s">
        <v>7</v>
      </c>
      <c r="B79" s="446" t="s">
        <v>915</v>
      </c>
      <c r="C79" s="449" t="s">
        <v>37</v>
      </c>
      <c r="D79" s="449" t="str">
        <f ca="1">IFERROR(OFFSET(Camp_List[P_Code],MATCH(Data_Demography_t[[#This Row],[Camp]],Camp_List[Camp Name],0)-1,0,1,1),"")</f>
        <v>MMR012CMP013</v>
      </c>
      <c r="E79" s="386" t="s">
        <v>679</v>
      </c>
      <c r="F79" s="451" t="s">
        <v>753</v>
      </c>
      <c r="G79" s="402">
        <v>11</v>
      </c>
      <c r="H79" s="177">
        <f t="shared" si="1"/>
        <v>11</v>
      </c>
      <c r="I79" s="449" t="s">
        <v>733</v>
      </c>
      <c r="J79" s="383">
        <v>42130</v>
      </c>
      <c r="L79"/>
      <c r="M79"/>
    </row>
    <row r="80" spans="1:13" x14ac:dyDescent="0.25">
      <c r="A80" s="445" t="s">
        <v>7</v>
      </c>
      <c r="B80" s="446" t="s">
        <v>915</v>
      </c>
      <c r="C80" s="449" t="s">
        <v>37</v>
      </c>
      <c r="D80" s="449" t="str">
        <f ca="1">IFERROR(OFFSET(Camp_List[P_Code],MATCH(Data_Demography_t[[#This Row],[Camp]],Camp_List[Camp Name],0)-1,0,1,1),"")</f>
        <v>MMR012CMP013</v>
      </c>
      <c r="E80" s="386" t="s">
        <v>930</v>
      </c>
      <c r="F80" s="451" t="s">
        <v>752</v>
      </c>
      <c r="G80" s="402">
        <v>13</v>
      </c>
      <c r="H80" s="177">
        <f t="shared" si="1"/>
        <v>-13</v>
      </c>
      <c r="I80" s="449" t="s">
        <v>733</v>
      </c>
      <c r="J80" s="383">
        <v>42130</v>
      </c>
      <c r="L80"/>
      <c r="M80"/>
    </row>
    <row r="81" spans="1:13" x14ac:dyDescent="0.25">
      <c r="A81" s="445" t="s">
        <v>7</v>
      </c>
      <c r="B81" s="446" t="s">
        <v>915</v>
      </c>
      <c r="C81" s="449" t="s">
        <v>37</v>
      </c>
      <c r="D81" s="449" t="str">
        <f ca="1">IFERROR(OFFSET(Camp_List[P_Code],MATCH(Data_Demography_t[[#This Row],[Camp]],Camp_List[Camp Name],0)-1,0,1,1),"")</f>
        <v>MMR012CMP013</v>
      </c>
      <c r="E81" s="386" t="s">
        <v>930</v>
      </c>
      <c r="F81" s="451" t="s">
        <v>753</v>
      </c>
      <c r="G81" s="402">
        <v>11</v>
      </c>
      <c r="H81" s="177">
        <f t="shared" si="1"/>
        <v>11</v>
      </c>
      <c r="I81" s="449" t="s">
        <v>733</v>
      </c>
      <c r="J81" s="383">
        <v>42130</v>
      </c>
      <c r="L81"/>
      <c r="M81"/>
    </row>
    <row r="82" spans="1:13" x14ac:dyDescent="0.25">
      <c r="A82" s="445" t="s">
        <v>7</v>
      </c>
      <c r="B82" s="446" t="s">
        <v>915</v>
      </c>
      <c r="C82" s="449" t="s">
        <v>37</v>
      </c>
      <c r="D82" s="449" t="str">
        <f ca="1">IFERROR(OFFSET(Camp_List[P_Code],MATCH(Data_Demography_t[[#This Row],[Camp]],Camp_List[Camp Name],0)-1,0,1,1),"")</f>
        <v>MMR012CMP013</v>
      </c>
      <c r="E82" s="382" t="s">
        <v>931</v>
      </c>
      <c r="F82" s="451" t="s">
        <v>752</v>
      </c>
      <c r="G82" s="402">
        <v>45</v>
      </c>
      <c r="H82" s="177">
        <f t="shared" si="1"/>
        <v>-45</v>
      </c>
      <c r="I82" s="449" t="s">
        <v>733</v>
      </c>
      <c r="J82" s="383">
        <v>42130</v>
      </c>
      <c r="L82"/>
      <c r="M82"/>
    </row>
    <row r="83" spans="1:13" x14ac:dyDescent="0.25">
      <c r="A83" s="445" t="s">
        <v>7</v>
      </c>
      <c r="B83" s="446" t="s">
        <v>915</v>
      </c>
      <c r="C83" s="449" t="s">
        <v>37</v>
      </c>
      <c r="D83" s="449" t="str">
        <f ca="1">IFERROR(OFFSET(Camp_List[P_Code],MATCH(Data_Demography_t[[#This Row],[Camp]],Camp_List[Camp Name],0)-1,0,1,1),"")</f>
        <v>MMR012CMP013</v>
      </c>
      <c r="E83" s="382" t="s">
        <v>931</v>
      </c>
      <c r="F83" s="451" t="s">
        <v>753</v>
      </c>
      <c r="G83" s="402">
        <v>38</v>
      </c>
      <c r="H83" s="177">
        <f t="shared" si="1"/>
        <v>38</v>
      </c>
      <c r="I83" s="449" t="s">
        <v>733</v>
      </c>
      <c r="J83" s="383">
        <v>42130</v>
      </c>
      <c r="L83"/>
      <c r="M83"/>
    </row>
    <row r="84" spans="1:13" x14ac:dyDescent="0.25">
      <c r="A84" s="445" t="s">
        <v>7</v>
      </c>
      <c r="B84" s="446" t="s">
        <v>915</v>
      </c>
      <c r="C84" s="449" t="s">
        <v>37</v>
      </c>
      <c r="D84" s="449" t="str">
        <f ca="1">IFERROR(OFFSET(Camp_List[P_Code],MATCH(Data_Demography_t[[#This Row],[Camp]],Camp_List[Camp Name],0)-1,0,1,1),"")</f>
        <v>MMR012CMP013</v>
      </c>
      <c r="E84" s="386" t="s">
        <v>905</v>
      </c>
      <c r="F84" s="451" t="s">
        <v>752</v>
      </c>
      <c r="G84" s="402">
        <v>14</v>
      </c>
      <c r="H84" s="177">
        <f t="shared" si="1"/>
        <v>-14</v>
      </c>
      <c r="I84" s="449" t="s">
        <v>733</v>
      </c>
      <c r="J84" s="383">
        <v>42130</v>
      </c>
      <c r="L84"/>
      <c r="M84"/>
    </row>
    <row r="85" spans="1:13" x14ac:dyDescent="0.25">
      <c r="A85" s="445" t="s">
        <v>7</v>
      </c>
      <c r="B85" s="446" t="s">
        <v>915</v>
      </c>
      <c r="C85" s="449" t="s">
        <v>37</v>
      </c>
      <c r="D85" s="449" t="str">
        <f ca="1">IFERROR(OFFSET(Camp_List[P_Code],MATCH(Data_Demography_t[[#This Row],[Camp]],Camp_List[Camp Name],0)-1,0,1,1),"")</f>
        <v>MMR012CMP013</v>
      </c>
      <c r="E85" s="386" t="s">
        <v>905</v>
      </c>
      <c r="F85" s="451" t="s">
        <v>753</v>
      </c>
      <c r="G85" s="402">
        <v>13</v>
      </c>
      <c r="H85" s="177">
        <f t="shared" si="1"/>
        <v>13</v>
      </c>
      <c r="I85" s="449" t="s">
        <v>733</v>
      </c>
      <c r="J85" s="383">
        <v>42130</v>
      </c>
      <c r="L85"/>
      <c r="M85"/>
    </row>
    <row r="86" spans="1:13" x14ac:dyDescent="0.25">
      <c r="A86" s="384" t="s">
        <v>7</v>
      </c>
      <c r="B86" s="378" t="s">
        <v>19</v>
      </c>
      <c r="C86" s="378" t="s">
        <v>64</v>
      </c>
      <c r="D86" s="465" t="str">
        <f ca="1">IFERROR(OFFSET(Camp_List[P_Code],MATCH(Data_Demography_t[[#This Row],[Camp]],Camp_List[Camp Name],0)-1,0,1,1),"")</f>
        <v>MMR012CMP042</v>
      </c>
      <c r="E86" s="411" t="s">
        <v>754</v>
      </c>
      <c r="F86" s="409" t="s">
        <v>752</v>
      </c>
      <c r="G86" s="466">
        <v>444</v>
      </c>
      <c r="H86" s="467">
        <f t="shared" si="1"/>
        <v>-444</v>
      </c>
      <c r="I86" s="378" t="s">
        <v>643</v>
      </c>
      <c r="J86" s="377">
        <v>42100</v>
      </c>
      <c r="L86"/>
      <c r="M86"/>
    </row>
    <row r="87" spans="1:13" x14ac:dyDescent="0.25">
      <c r="A87" s="384" t="s">
        <v>7</v>
      </c>
      <c r="B87" s="378" t="s">
        <v>19</v>
      </c>
      <c r="C87" s="378" t="s">
        <v>64</v>
      </c>
      <c r="D87" s="465" t="str">
        <f ca="1">IFERROR(OFFSET(Camp_List[P_Code],MATCH(Data_Demography_t[[#This Row],[Camp]],Camp_List[Camp Name],0)-1,0,1,1),"")</f>
        <v>MMR012CMP042</v>
      </c>
      <c r="E87" s="411" t="s">
        <v>754</v>
      </c>
      <c r="F87" s="409" t="s">
        <v>753</v>
      </c>
      <c r="G87" s="466">
        <v>438</v>
      </c>
      <c r="H87" s="467">
        <f t="shared" si="1"/>
        <v>438</v>
      </c>
      <c r="I87" s="378" t="s">
        <v>643</v>
      </c>
      <c r="J87" s="377">
        <v>42100</v>
      </c>
      <c r="L87"/>
      <c r="M87"/>
    </row>
    <row r="88" spans="1:13" x14ac:dyDescent="0.25">
      <c r="A88" s="384" t="s">
        <v>7</v>
      </c>
      <c r="B88" s="435" t="s">
        <v>19</v>
      </c>
      <c r="C88" s="447" t="s">
        <v>64</v>
      </c>
      <c r="D88" s="465" t="str">
        <f ca="1">IFERROR(OFFSET(Camp_List[P_Code],MATCH(Data_Demography_t[[#This Row],[Camp]],Camp_List[Camp Name],0)-1,0,1,1),"")</f>
        <v>MMR012CMP042</v>
      </c>
      <c r="E88" s="411" t="s">
        <v>929</v>
      </c>
      <c r="F88" s="409" t="s">
        <v>752</v>
      </c>
      <c r="G88" s="466">
        <v>391</v>
      </c>
      <c r="H88" s="467">
        <f t="shared" si="1"/>
        <v>-391</v>
      </c>
      <c r="I88" s="464" t="s">
        <v>643</v>
      </c>
      <c r="J88" s="403">
        <v>42100</v>
      </c>
      <c r="L88"/>
      <c r="M88"/>
    </row>
    <row r="89" spans="1:13" x14ac:dyDescent="0.25">
      <c r="A89" s="384" t="s">
        <v>7</v>
      </c>
      <c r="B89" s="435" t="s">
        <v>19</v>
      </c>
      <c r="C89" s="447" t="s">
        <v>64</v>
      </c>
      <c r="D89" s="465" t="str">
        <f ca="1">IFERROR(OFFSET(Camp_List[P_Code],MATCH(Data_Demography_t[[#This Row],[Camp]],Camp_List[Camp Name],0)-1,0,1,1),"")</f>
        <v>MMR012CMP042</v>
      </c>
      <c r="E89" s="411" t="s">
        <v>929</v>
      </c>
      <c r="F89" s="409" t="s">
        <v>753</v>
      </c>
      <c r="G89" s="466">
        <v>358</v>
      </c>
      <c r="H89" s="467">
        <f t="shared" si="1"/>
        <v>358</v>
      </c>
      <c r="I89" s="464" t="s">
        <v>643</v>
      </c>
      <c r="J89" s="403">
        <v>42100</v>
      </c>
      <c r="L89"/>
      <c r="M89"/>
    </row>
    <row r="90" spans="1:13" x14ac:dyDescent="0.25">
      <c r="A90" s="384" t="s">
        <v>7</v>
      </c>
      <c r="B90" s="435" t="s">
        <v>19</v>
      </c>
      <c r="C90" s="447" t="s">
        <v>64</v>
      </c>
      <c r="D90" s="465" t="str">
        <f ca="1">IFERROR(OFFSET(Camp_List[P_Code],MATCH(Data_Demography_t[[#This Row],[Camp]],Camp_List[Camp Name],0)-1,0,1,1),"")</f>
        <v>MMR012CMP042</v>
      </c>
      <c r="E90" s="411" t="s">
        <v>679</v>
      </c>
      <c r="F90" s="409" t="s">
        <v>752</v>
      </c>
      <c r="G90" s="466">
        <v>320</v>
      </c>
      <c r="H90" s="467">
        <f t="shared" si="1"/>
        <v>-320</v>
      </c>
      <c r="I90" s="464" t="s">
        <v>643</v>
      </c>
      <c r="J90" s="403">
        <v>42100</v>
      </c>
      <c r="L90"/>
      <c r="M90"/>
    </row>
    <row r="91" spans="1:13" x14ac:dyDescent="0.25">
      <c r="A91" s="384" t="s">
        <v>7</v>
      </c>
      <c r="B91" s="435" t="s">
        <v>19</v>
      </c>
      <c r="C91" s="447" t="s">
        <v>64</v>
      </c>
      <c r="D91" s="465" t="str">
        <f ca="1">IFERROR(OFFSET(Camp_List[P_Code],MATCH(Data_Demography_t[[#This Row],[Camp]],Camp_List[Camp Name],0)-1,0,1,1),"")</f>
        <v>MMR012CMP042</v>
      </c>
      <c r="E91" s="411" t="s">
        <v>679</v>
      </c>
      <c r="F91" s="409" t="s">
        <v>753</v>
      </c>
      <c r="G91" s="466">
        <v>273</v>
      </c>
      <c r="H91" s="467">
        <f t="shared" si="1"/>
        <v>273</v>
      </c>
      <c r="I91" s="464" t="s">
        <v>643</v>
      </c>
      <c r="J91" s="403">
        <v>42100</v>
      </c>
      <c r="L91"/>
      <c r="M91"/>
    </row>
    <row r="92" spans="1:13" x14ac:dyDescent="0.25">
      <c r="A92" s="384" t="s">
        <v>7</v>
      </c>
      <c r="B92" s="435" t="s">
        <v>19</v>
      </c>
      <c r="C92" s="447" t="s">
        <v>64</v>
      </c>
      <c r="D92" s="465" t="str">
        <f ca="1">IFERROR(OFFSET(Camp_List[P_Code],MATCH(Data_Demography_t[[#This Row],[Camp]],Camp_List[Camp Name],0)-1,0,1,1),"")</f>
        <v>MMR012CMP042</v>
      </c>
      <c r="E92" s="411" t="s">
        <v>930</v>
      </c>
      <c r="F92" s="409" t="s">
        <v>752</v>
      </c>
      <c r="G92" s="466">
        <v>336</v>
      </c>
      <c r="H92" s="467">
        <f t="shared" si="1"/>
        <v>-336</v>
      </c>
      <c r="I92" s="464" t="s">
        <v>643</v>
      </c>
      <c r="J92" s="403">
        <v>42100</v>
      </c>
      <c r="L92"/>
      <c r="M92"/>
    </row>
    <row r="93" spans="1:13" x14ac:dyDescent="0.25">
      <c r="A93" s="384" t="s">
        <v>7</v>
      </c>
      <c r="B93" s="435" t="s">
        <v>19</v>
      </c>
      <c r="C93" s="447" t="s">
        <v>64</v>
      </c>
      <c r="D93" s="465" t="str">
        <f ca="1">IFERROR(OFFSET(Camp_List[P_Code],MATCH(Data_Demography_t[[#This Row],[Camp]],Camp_List[Camp Name],0)-1,0,1,1),"")</f>
        <v>MMR012CMP042</v>
      </c>
      <c r="E93" s="411" t="s">
        <v>930</v>
      </c>
      <c r="F93" s="409" t="s">
        <v>753</v>
      </c>
      <c r="G93" s="466">
        <v>465</v>
      </c>
      <c r="H93" s="467">
        <f t="shared" si="1"/>
        <v>465</v>
      </c>
      <c r="I93" s="464" t="s">
        <v>643</v>
      </c>
      <c r="J93" s="403">
        <v>42100</v>
      </c>
      <c r="L93"/>
      <c r="M93"/>
    </row>
    <row r="94" spans="1:13" x14ac:dyDescent="0.25">
      <c r="A94" s="384" t="s">
        <v>7</v>
      </c>
      <c r="B94" s="435" t="s">
        <v>19</v>
      </c>
      <c r="C94" s="447" t="s">
        <v>64</v>
      </c>
      <c r="D94" s="465" t="str">
        <f ca="1">IFERROR(OFFSET(Camp_List[P_Code],MATCH(Data_Demography_t[[#This Row],[Camp]],Camp_List[Camp Name],0)-1,0,1,1),"")</f>
        <v>MMR012CMP042</v>
      </c>
      <c r="E94" s="411" t="s">
        <v>931</v>
      </c>
      <c r="F94" s="409" t="s">
        <v>752</v>
      </c>
      <c r="G94" s="466">
        <v>581</v>
      </c>
      <c r="H94" s="467">
        <f t="shared" si="1"/>
        <v>-581</v>
      </c>
      <c r="I94" s="464" t="s">
        <v>643</v>
      </c>
      <c r="J94" s="403">
        <v>42100</v>
      </c>
      <c r="L94"/>
      <c r="M94"/>
    </row>
    <row r="95" spans="1:13" x14ac:dyDescent="0.25">
      <c r="A95" s="384" t="s">
        <v>7</v>
      </c>
      <c r="B95" s="435" t="s">
        <v>19</v>
      </c>
      <c r="C95" s="447" t="s">
        <v>64</v>
      </c>
      <c r="D95" s="465" t="str">
        <f ca="1">IFERROR(OFFSET(Camp_List[P_Code],MATCH(Data_Demography_t[[#This Row],[Camp]],Camp_List[Camp Name],0)-1,0,1,1),"")</f>
        <v>MMR012CMP042</v>
      </c>
      <c r="E95" s="411" t="s">
        <v>931</v>
      </c>
      <c r="F95" s="409" t="s">
        <v>753</v>
      </c>
      <c r="G95" s="466">
        <v>604</v>
      </c>
      <c r="H95" s="467">
        <f t="shared" si="1"/>
        <v>604</v>
      </c>
      <c r="I95" s="464" t="s">
        <v>643</v>
      </c>
      <c r="J95" s="403">
        <v>42100</v>
      </c>
    </row>
    <row r="96" spans="1:13" x14ac:dyDescent="0.25">
      <c r="A96" s="384" t="s">
        <v>7</v>
      </c>
      <c r="B96" s="435" t="s">
        <v>19</v>
      </c>
      <c r="C96" s="447" t="s">
        <v>64</v>
      </c>
      <c r="D96" s="465" t="str">
        <f ca="1">IFERROR(OFFSET(Camp_List[P_Code],MATCH(Data_Demography_t[[#This Row],[Camp]],Camp_List[Camp Name],0)-1,0,1,1),"")</f>
        <v>MMR012CMP042</v>
      </c>
      <c r="E96" s="411" t="s">
        <v>905</v>
      </c>
      <c r="F96" s="409" t="s">
        <v>752</v>
      </c>
      <c r="G96" s="466">
        <v>59</v>
      </c>
      <c r="H96" s="467">
        <f t="shared" si="1"/>
        <v>-59</v>
      </c>
      <c r="I96" s="464" t="s">
        <v>643</v>
      </c>
      <c r="J96" s="403">
        <v>42100</v>
      </c>
    </row>
    <row r="97" spans="1:10" x14ac:dyDescent="0.25">
      <c r="A97" s="384" t="s">
        <v>7</v>
      </c>
      <c r="B97" s="435" t="s">
        <v>19</v>
      </c>
      <c r="C97" s="447" t="s">
        <v>64</v>
      </c>
      <c r="D97" s="465" t="str">
        <f ca="1">IFERROR(OFFSET(Camp_List[P_Code],MATCH(Data_Demography_t[[#This Row],[Camp]],Camp_List[Camp Name],0)-1,0,1,1),"")</f>
        <v>MMR012CMP042</v>
      </c>
      <c r="E97" s="411" t="s">
        <v>905</v>
      </c>
      <c r="F97" s="409" t="s">
        <v>753</v>
      </c>
      <c r="G97" s="466">
        <v>73</v>
      </c>
      <c r="H97" s="467">
        <f t="shared" si="1"/>
        <v>73</v>
      </c>
      <c r="I97" s="464" t="s">
        <v>643</v>
      </c>
      <c r="J97" s="403">
        <v>42100</v>
      </c>
    </row>
    <row r="98" spans="1:10" x14ac:dyDescent="0.25">
      <c r="A98" s="384" t="s">
        <v>7</v>
      </c>
      <c r="B98" s="378" t="s">
        <v>14</v>
      </c>
      <c r="C98" s="378" t="s">
        <v>42</v>
      </c>
      <c r="D98" s="385" t="str">
        <f ca="1">IFERROR(OFFSET(Camp_List[P_Code],MATCH(Data_Demography_t[[#This Row],[Camp]],Camp_List[Camp Name],0)-1,0,1,1),"")</f>
        <v>MMR012CMP018</v>
      </c>
      <c r="E98" s="386" t="s">
        <v>754</v>
      </c>
      <c r="F98" s="387" t="s">
        <v>752</v>
      </c>
      <c r="G98" s="381">
        <v>612</v>
      </c>
      <c r="H98" s="177">
        <f t="shared" si="1"/>
        <v>-612</v>
      </c>
      <c r="I98" s="378" t="s">
        <v>757</v>
      </c>
      <c r="J98" s="377">
        <v>42173</v>
      </c>
    </row>
    <row r="99" spans="1:10" x14ac:dyDescent="0.25">
      <c r="A99" s="384" t="s">
        <v>7</v>
      </c>
      <c r="B99" s="378" t="s">
        <v>14</v>
      </c>
      <c r="C99" s="378" t="s">
        <v>42</v>
      </c>
      <c r="D99" s="385" t="str">
        <f ca="1">IFERROR(OFFSET(Camp_List[P_Code],MATCH(Data_Demography_t[[#This Row],[Camp]],Camp_List[Camp Name],0)-1,0,1,1),"")</f>
        <v>MMR012CMP018</v>
      </c>
      <c r="E99" s="386" t="s">
        <v>754</v>
      </c>
      <c r="F99" s="387" t="s">
        <v>753</v>
      </c>
      <c r="G99" s="381">
        <v>589</v>
      </c>
      <c r="H99" s="177">
        <f t="shared" si="1"/>
        <v>589</v>
      </c>
      <c r="I99" s="378" t="s">
        <v>757</v>
      </c>
      <c r="J99" s="377">
        <v>42173</v>
      </c>
    </row>
    <row r="100" spans="1:10" x14ac:dyDescent="0.25">
      <c r="A100" s="384" t="s">
        <v>7</v>
      </c>
      <c r="B100" s="378" t="s">
        <v>14</v>
      </c>
      <c r="C100" s="378" t="s">
        <v>42</v>
      </c>
      <c r="D100" s="385" t="str">
        <f ca="1">IFERROR(OFFSET(Camp_List[P_Code],MATCH(Data_Demography_t[[#This Row],[Camp]],Camp_List[Camp Name],0)-1,0,1,1),"")</f>
        <v>MMR012CMP018</v>
      </c>
      <c r="E100" s="386" t="s">
        <v>929</v>
      </c>
      <c r="F100" s="387" t="s">
        <v>752</v>
      </c>
      <c r="G100" s="381">
        <v>456</v>
      </c>
      <c r="H100" s="177">
        <f t="shared" si="1"/>
        <v>-456</v>
      </c>
      <c r="I100" s="378" t="s">
        <v>757</v>
      </c>
      <c r="J100" s="377">
        <v>42173</v>
      </c>
    </row>
    <row r="101" spans="1:10" x14ac:dyDescent="0.25">
      <c r="A101" s="384" t="s">
        <v>7</v>
      </c>
      <c r="B101" s="378" t="s">
        <v>14</v>
      </c>
      <c r="C101" s="378" t="s">
        <v>42</v>
      </c>
      <c r="D101" s="385" t="str">
        <f ca="1">IFERROR(OFFSET(Camp_List[P_Code],MATCH(Data_Demography_t[[#This Row],[Camp]],Camp_List[Camp Name],0)-1,0,1,1),"")</f>
        <v>MMR012CMP018</v>
      </c>
      <c r="E101" s="386" t="s">
        <v>929</v>
      </c>
      <c r="F101" s="387" t="s">
        <v>753</v>
      </c>
      <c r="G101" s="381">
        <v>523</v>
      </c>
      <c r="H101" s="177">
        <f t="shared" si="1"/>
        <v>523</v>
      </c>
      <c r="I101" s="378" t="s">
        <v>757</v>
      </c>
      <c r="J101" s="377">
        <v>42173</v>
      </c>
    </row>
    <row r="102" spans="1:10" x14ac:dyDescent="0.25">
      <c r="A102" s="384" t="s">
        <v>7</v>
      </c>
      <c r="B102" s="378" t="s">
        <v>14</v>
      </c>
      <c r="C102" s="378" t="s">
        <v>42</v>
      </c>
      <c r="D102" s="385" t="str">
        <f ca="1">IFERROR(OFFSET(Camp_List[P_Code],MATCH(Data_Demography_t[[#This Row],[Camp]],Camp_List[Camp Name],0)-1,0,1,1),"")</f>
        <v>MMR012CMP018</v>
      </c>
      <c r="E102" s="386" t="s">
        <v>679</v>
      </c>
      <c r="F102" s="387" t="s">
        <v>752</v>
      </c>
      <c r="G102" s="381">
        <v>355</v>
      </c>
      <c r="H102" s="177">
        <f t="shared" si="1"/>
        <v>-355</v>
      </c>
      <c r="I102" s="378" t="s">
        <v>757</v>
      </c>
      <c r="J102" s="377">
        <v>42173</v>
      </c>
    </row>
    <row r="103" spans="1:10" x14ac:dyDescent="0.25">
      <c r="A103" s="384" t="s">
        <v>7</v>
      </c>
      <c r="B103" s="378" t="s">
        <v>14</v>
      </c>
      <c r="C103" s="378" t="s">
        <v>42</v>
      </c>
      <c r="D103" s="385" t="str">
        <f ca="1">IFERROR(OFFSET(Camp_List[P_Code],MATCH(Data_Demography_t[[#This Row],[Camp]],Camp_List[Camp Name],0)-1,0,1,1),"")</f>
        <v>MMR012CMP018</v>
      </c>
      <c r="E103" s="386" t="s">
        <v>679</v>
      </c>
      <c r="F103" s="387" t="s">
        <v>753</v>
      </c>
      <c r="G103" s="381">
        <v>297</v>
      </c>
      <c r="H103" s="177">
        <f t="shared" si="1"/>
        <v>297</v>
      </c>
      <c r="I103" s="378" t="s">
        <v>757</v>
      </c>
      <c r="J103" s="377">
        <v>42173</v>
      </c>
    </row>
    <row r="104" spans="1:10" x14ac:dyDescent="0.25">
      <c r="A104" s="384" t="s">
        <v>7</v>
      </c>
      <c r="B104" s="378" t="s">
        <v>14</v>
      </c>
      <c r="C104" s="378" t="s">
        <v>42</v>
      </c>
      <c r="D104" s="385" t="str">
        <f ca="1">IFERROR(OFFSET(Camp_List[P_Code],MATCH(Data_Demography_t[[#This Row],[Camp]],Camp_List[Camp Name],0)-1,0,1,1),"")</f>
        <v>MMR012CMP018</v>
      </c>
      <c r="E104" s="386" t="s">
        <v>930</v>
      </c>
      <c r="F104" s="387" t="s">
        <v>752</v>
      </c>
      <c r="G104" s="381">
        <v>345</v>
      </c>
      <c r="H104" s="177">
        <f t="shared" si="1"/>
        <v>-345</v>
      </c>
      <c r="I104" s="378" t="s">
        <v>757</v>
      </c>
      <c r="J104" s="377">
        <v>42173</v>
      </c>
    </row>
    <row r="105" spans="1:10" x14ac:dyDescent="0.25">
      <c r="A105" s="384" t="s">
        <v>7</v>
      </c>
      <c r="B105" s="378" t="s">
        <v>14</v>
      </c>
      <c r="C105" s="378" t="s">
        <v>42</v>
      </c>
      <c r="D105" s="385" t="str">
        <f ca="1">IFERROR(OFFSET(Camp_List[P_Code],MATCH(Data_Demography_t[[#This Row],[Camp]],Camp_List[Camp Name],0)-1,0,1,1),"")</f>
        <v>MMR012CMP018</v>
      </c>
      <c r="E105" s="386" t="s">
        <v>930</v>
      </c>
      <c r="F105" s="387" t="s">
        <v>753</v>
      </c>
      <c r="G105" s="381">
        <v>482</v>
      </c>
      <c r="H105" s="177">
        <f t="shared" si="1"/>
        <v>482</v>
      </c>
      <c r="I105" s="378" t="s">
        <v>757</v>
      </c>
      <c r="J105" s="377">
        <v>42173</v>
      </c>
    </row>
    <row r="106" spans="1:10" x14ac:dyDescent="0.25">
      <c r="A106" s="384" t="s">
        <v>7</v>
      </c>
      <c r="B106" s="378" t="s">
        <v>14</v>
      </c>
      <c r="C106" s="378" t="s">
        <v>42</v>
      </c>
      <c r="D106" s="385" t="str">
        <f ca="1">IFERROR(OFFSET(Camp_List[P_Code],MATCH(Data_Demography_t[[#This Row],[Camp]],Camp_List[Camp Name],0)-1,0,1,1),"")</f>
        <v>MMR012CMP018</v>
      </c>
      <c r="E106" s="386" t="s">
        <v>931</v>
      </c>
      <c r="F106" s="387" t="s">
        <v>752</v>
      </c>
      <c r="G106" s="381">
        <v>599</v>
      </c>
      <c r="H106" s="177">
        <f t="shared" si="1"/>
        <v>-599</v>
      </c>
      <c r="I106" s="378" t="s">
        <v>757</v>
      </c>
      <c r="J106" s="377">
        <v>42173</v>
      </c>
    </row>
    <row r="107" spans="1:10" x14ac:dyDescent="0.25">
      <c r="A107" s="384" t="s">
        <v>7</v>
      </c>
      <c r="B107" s="378" t="s">
        <v>14</v>
      </c>
      <c r="C107" s="378" t="s">
        <v>42</v>
      </c>
      <c r="D107" s="385" t="str">
        <f ca="1">IFERROR(OFFSET(Camp_List[P_Code],MATCH(Data_Demography_t[[#This Row],[Camp]],Camp_List[Camp Name],0)-1,0,1,1),"")</f>
        <v>MMR012CMP018</v>
      </c>
      <c r="E107" s="386" t="s">
        <v>931</v>
      </c>
      <c r="F107" s="387" t="s">
        <v>753</v>
      </c>
      <c r="G107" s="381">
        <v>602</v>
      </c>
      <c r="H107" s="177">
        <f t="shared" si="1"/>
        <v>602</v>
      </c>
      <c r="I107" s="378" t="s">
        <v>757</v>
      </c>
      <c r="J107" s="377">
        <v>42173</v>
      </c>
    </row>
    <row r="108" spans="1:10" x14ac:dyDescent="0.25">
      <c r="A108" s="384" t="s">
        <v>7</v>
      </c>
      <c r="B108" s="378" t="s">
        <v>14</v>
      </c>
      <c r="C108" s="378" t="s">
        <v>42</v>
      </c>
      <c r="D108" s="474" t="str">
        <f ca="1">IFERROR(OFFSET(Camp_List[P_Code],MATCH(Data_Demography_t[[#This Row],[Camp]],Camp_List[Camp Name],0)-1,0,1,1),"")</f>
        <v>MMR012CMP018</v>
      </c>
      <c r="E108" s="386" t="s">
        <v>905</v>
      </c>
      <c r="F108" s="387" t="s">
        <v>752</v>
      </c>
      <c r="G108" s="381">
        <v>104</v>
      </c>
      <c r="H108" s="177">
        <f t="shared" si="1"/>
        <v>-104</v>
      </c>
      <c r="I108" s="378" t="s">
        <v>757</v>
      </c>
      <c r="J108" s="377">
        <v>42173</v>
      </c>
    </row>
    <row r="109" spans="1:10" x14ac:dyDescent="0.25">
      <c r="A109" s="384" t="s">
        <v>7</v>
      </c>
      <c r="B109" s="378" t="s">
        <v>14</v>
      </c>
      <c r="C109" s="378" t="s">
        <v>42</v>
      </c>
      <c r="D109" s="474" t="str">
        <f ca="1">IFERROR(OFFSET(Camp_List[P_Code],MATCH(Data_Demography_t[[#This Row],[Camp]],Camp_List[Camp Name],0)-1,0,1,1),"")</f>
        <v>MMR012CMP018</v>
      </c>
      <c r="E109" s="386" t="s">
        <v>905</v>
      </c>
      <c r="F109" s="387" t="s">
        <v>753</v>
      </c>
      <c r="G109" s="381">
        <v>96</v>
      </c>
      <c r="H109" s="177">
        <f t="shared" si="1"/>
        <v>96</v>
      </c>
      <c r="I109" s="378" t="s">
        <v>757</v>
      </c>
      <c r="J109" s="377">
        <v>42173</v>
      </c>
    </row>
    <row r="110" spans="1:10" x14ac:dyDescent="0.25">
      <c r="A110" s="384" t="s">
        <v>7</v>
      </c>
      <c r="B110" s="378" t="s">
        <v>19</v>
      </c>
      <c r="C110" s="385" t="s">
        <v>649</v>
      </c>
      <c r="D110" s="385" t="str">
        <f ca="1">IFERROR(OFFSET(Camp_List[P_Code],MATCH(Data_Demography_t[[#This Row],[Camp]],Camp_List[Camp Name],0)-1,0,1,1),"")</f>
        <v>MMR012CMP092</v>
      </c>
      <c r="E110" s="386" t="s">
        <v>754</v>
      </c>
      <c r="F110" s="387" t="s">
        <v>752</v>
      </c>
      <c r="G110" s="381">
        <v>304</v>
      </c>
      <c r="H110" s="177">
        <f t="shared" si="1"/>
        <v>-304</v>
      </c>
      <c r="I110" s="385" t="s">
        <v>757</v>
      </c>
      <c r="J110" s="383">
        <v>42163</v>
      </c>
    </row>
    <row r="111" spans="1:10" x14ac:dyDescent="0.25">
      <c r="A111" s="384" t="s">
        <v>7</v>
      </c>
      <c r="B111" s="378" t="s">
        <v>19</v>
      </c>
      <c r="C111" s="385" t="s">
        <v>649</v>
      </c>
      <c r="D111" s="385" t="str">
        <f ca="1">IFERROR(OFFSET(Camp_List[P_Code],MATCH(Data_Demography_t[[#This Row],[Camp]],Camp_List[Camp Name],0)-1,0,1,1),"")</f>
        <v>MMR012CMP092</v>
      </c>
      <c r="E111" s="386" t="s">
        <v>754</v>
      </c>
      <c r="F111" s="387" t="s">
        <v>753</v>
      </c>
      <c r="G111" s="381">
        <v>336</v>
      </c>
      <c r="H111" s="177">
        <f t="shared" si="1"/>
        <v>336</v>
      </c>
      <c r="I111" s="385" t="s">
        <v>757</v>
      </c>
      <c r="J111" s="383">
        <v>42163</v>
      </c>
    </row>
    <row r="112" spans="1:10" x14ac:dyDescent="0.25">
      <c r="A112" s="384" t="s">
        <v>7</v>
      </c>
      <c r="B112" s="378" t="s">
        <v>19</v>
      </c>
      <c r="C112" s="385" t="s">
        <v>649</v>
      </c>
      <c r="D112" s="385" t="str">
        <f ca="1">IFERROR(OFFSET(Camp_List[P_Code],MATCH(Data_Demography_t[[#This Row],[Camp]],Camp_List[Camp Name],0)-1,0,1,1),"")</f>
        <v>MMR012CMP092</v>
      </c>
      <c r="E112" s="386" t="s">
        <v>929</v>
      </c>
      <c r="F112" s="387" t="s">
        <v>752</v>
      </c>
      <c r="G112" s="381">
        <v>295</v>
      </c>
      <c r="H112" s="177">
        <f t="shared" si="1"/>
        <v>-295</v>
      </c>
      <c r="I112" s="385" t="s">
        <v>757</v>
      </c>
      <c r="J112" s="383">
        <v>42163</v>
      </c>
    </row>
    <row r="113" spans="1:10" x14ac:dyDescent="0.25">
      <c r="A113" s="384" t="s">
        <v>7</v>
      </c>
      <c r="B113" s="378" t="s">
        <v>19</v>
      </c>
      <c r="C113" s="385" t="s">
        <v>649</v>
      </c>
      <c r="D113" s="385" t="str">
        <f ca="1">IFERROR(OFFSET(Camp_List[P_Code],MATCH(Data_Demography_t[[#This Row],[Camp]],Camp_List[Camp Name],0)-1,0,1,1),"")</f>
        <v>MMR012CMP092</v>
      </c>
      <c r="E113" s="386" t="s">
        <v>929</v>
      </c>
      <c r="F113" s="387" t="s">
        <v>753</v>
      </c>
      <c r="G113" s="381">
        <v>276</v>
      </c>
      <c r="H113" s="177">
        <f t="shared" si="1"/>
        <v>276</v>
      </c>
      <c r="I113" s="385" t="s">
        <v>757</v>
      </c>
      <c r="J113" s="383">
        <v>42163</v>
      </c>
    </row>
    <row r="114" spans="1:10" x14ac:dyDescent="0.25">
      <c r="A114" s="384" t="s">
        <v>7</v>
      </c>
      <c r="B114" s="378" t="s">
        <v>19</v>
      </c>
      <c r="C114" s="385" t="s">
        <v>649</v>
      </c>
      <c r="D114" s="385" t="str">
        <f ca="1">IFERROR(OFFSET(Camp_List[P_Code],MATCH(Data_Demography_t[[#This Row],[Camp]],Camp_List[Camp Name],0)-1,0,1,1),"")</f>
        <v>MMR012CMP092</v>
      </c>
      <c r="E114" s="386" t="s">
        <v>679</v>
      </c>
      <c r="F114" s="387" t="s">
        <v>752</v>
      </c>
      <c r="G114" s="381">
        <v>218</v>
      </c>
      <c r="H114" s="177">
        <f t="shared" si="1"/>
        <v>-218</v>
      </c>
      <c r="I114" s="385" t="s">
        <v>757</v>
      </c>
      <c r="J114" s="383">
        <v>42163</v>
      </c>
    </row>
    <row r="115" spans="1:10" x14ac:dyDescent="0.25">
      <c r="A115" s="384" t="s">
        <v>7</v>
      </c>
      <c r="B115" s="378" t="s">
        <v>19</v>
      </c>
      <c r="C115" s="385" t="s">
        <v>649</v>
      </c>
      <c r="D115" s="385" t="str">
        <f ca="1">IFERROR(OFFSET(Camp_List[P_Code],MATCH(Data_Demography_t[[#This Row],[Camp]],Camp_List[Camp Name],0)-1,0,1,1),"")</f>
        <v>MMR012CMP092</v>
      </c>
      <c r="E115" s="386" t="s">
        <v>679</v>
      </c>
      <c r="F115" s="387" t="s">
        <v>753</v>
      </c>
      <c r="G115" s="381">
        <v>224</v>
      </c>
      <c r="H115" s="177">
        <f t="shared" si="1"/>
        <v>224</v>
      </c>
      <c r="I115" s="385" t="s">
        <v>757</v>
      </c>
      <c r="J115" s="383">
        <v>42163</v>
      </c>
    </row>
    <row r="116" spans="1:10" x14ac:dyDescent="0.25">
      <c r="A116" s="384" t="s">
        <v>7</v>
      </c>
      <c r="B116" s="378" t="s">
        <v>19</v>
      </c>
      <c r="C116" s="385" t="s">
        <v>649</v>
      </c>
      <c r="D116" s="385" t="str">
        <f ca="1">IFERROR(OFFSET(Camp_List[P_Code],MATCH(Data_Demography_t[[#This Row],[Camp]],Camp_List[Camp Name],0)-1,0,1,1),"")</f>
        <v>MMR012CMP092</v>
      </c>
      <c r="E116" s="386" t="s">
        <v>930</v>
      </c>
      <c r="F116" s="387" t="s">
        <v>752</v>
      </c>
      <c r="G116" s="381">
        <v>288</v>
      </c>
      <c r="H116" s="177">
        <f t="shared" si="1"/>
        <v>-288</v>
      </c>
      <c r="I116" s="385" t="s">
        <v>757</v>
      </c>
      <c r="J116" s="383">
        <v>42163</v>
      </c>
    </row>
    <row r="117" spans="1:10" x14ac:dyDescent="0.25">
      <c r="A117" s="384" t="s">
        <v>7</v>
      </c>
      <c r="B117" s="378" t="s">
        <v>19</v>
      </c>
      <c r="C117" s="385" t="s">
        <v>649</v>
      </c>
      <c r="D117" s="385" t="str">
        <f ca="1">IFERROR(OFFSET(Camp_List[P_Code],MATCH(Data_Demography_t[[#This Row],[Camp]],Camp_List[Camp Name],0)-1,0,1,1),"")</f>
        <v>MMR012CMP092</v>
      </c>
      <c r="E117" s="386" t="s">
        <v>930</v>
      </c>
      <c r="F117" s="387" t="s">
        <v>753</v>
      </c>
      <c r="G117" s="381">
        <v>348</v>
      </c>
      <c r="H117" s="177">
        <f t="shared" si="1"/>
        <v>348</v>
      </c>
      <c r="I117" s="385" t="s">
        <v>757</v>
      </c>
      <c r="J117" s="383">
        <v>42163</v>
      </c>
    </row>
    <row r="118" spans="1:10" x14ac:dyDescent="0.25">
      <c r="A118" s="384" t="s">
        <v>7</v>
      </c>
      <c r="B118" s="378" t="s">
        <v>19</v>
      </c>
      <c r="C118" s="385" t="s">
        <v>649</v>
      </c>
      <c r="D118" s="385" t="str">
        <f ca="1">IFERROR(OFFSET(Camp_List[P_Code],MATCH(Data_Demography_t[[#This Row],[Camp]],Camp_List[Camp Name],0)-1,0,1,1),"")</f>
        <v>MMR012CMP092</v>
      </c>
      <c r="E118" s="386" t="s">
        <v>931</v>
      </c>
      <c r="F118" s="387" t="s">
        <v>752</v>
      </c>
      <c r="G118" s="381">
        <v>439</v>
      </c>
      <c r="H118" s="177">
        <f t="shared" si="1"/>
        <v>-439</v>
      </c>
      <c r="I118" s="385" t="s">
        <v>757</v>
      </c>
      <c r="J118" s="383">
        <v>42163</v>
      </c>
    </row>
    <row r="119" spans="1:10" x14ac:dyDescent="0.25">
      <c r="A119" s="384" t="s">
        <v>7</v>
      </c>
      <c r="B119" s="378" t="s">
        <v>19</v>
      </c>
      <c r="C119" s="385" t="s">
        <v>649</v>
      </c>
      <c r="D119" s="385" t="str">
        <f ca="1">IFERROR(OFFSET(Camp_List[P_Code],MATCH(Data_Demography_t[[#This Row],[Camp]],Camp_List[Camp Name],0)-1,0,1,1),"")</f>
        <v>MMR012CMP092</v>
      </c>
      <c r="E119" s="386" t="s">
        <v>931</v>
      </c>
      <c r="F119" s="387" t="s">
        <v>753</v>
      </c>
      <c r="G119" s="381">
        <v>483</v>
      </c>
      <c r="H119" s="177">
        <f t="shared" si="1"/>
        <v>483</v>
      </c>
      <c r="I119" s="385" t="s">
        <v>757</v>
      </c>
      <c r="J119" s="383">
        <v>42163</v>
      </c>
    </row>
    <row r="120" spans="1:10" x14ac:dyDescent="0.25">
      <c r="A120" s="384" t="s">
        <v>7</v>
      </c>
      <c r="B120" s="378" t="s">
        <v>19</v>
      </c>
      <c r="C120" s="385" t="s">
        <v>649</v>
      </c>
      <c r="D120" s="385" t="str">
        <f ca="1">IFERROR(OFFSET(Camp_List[P_Code],MATCH(Data_Demography_t[[#This Row],[Camp]],Camp_List[Camp Name],0)-1,0,1,1),"")</f>
        <v>MMR012CMP092</v>
      </c>
      <c r="E120" s="386" t="s">
        <v>905</v>
      </c>
      <c r="F120" s="387" t="s">
        <v>752</v>
      </c>
      <c r="G120" s="381">
        <v>74</v>
      </c>
      <c r="H120" s="177">
        <f t="shared" si="1"/>
        <v>-74</v>
      </c>
      <c r="I120" s="385" t="s">
        <v>757</v>
      </c>
      <c r="J120" s="383">
        <v>42163</v>
      </c>
    </row>
    <row r="121" spans="1:10" x14ac:dyDescent="0.25">
      <c r="A121" s="384" t="s">
        <v>7</v>
      </c>
      <c r="B121" s="378" t="s">
        <v>19</v>
      </c>
      <c r="C121" s="385" t="s">
        <v>649</v>
      </c>
      <c r="D121" s="385" t="str">
        <f ca="1">IFERROR(OFFSET(Camp_List[P_Code],MATCH(Data_Demography_t[[#This Row],[Camp]],Camp_List[Camp Name],0)-1,0,1,1),"")</f>
        <v>MMR012CMP092</v>
      </c>
      <c r="E121" s="386" t="s">
        <v>905</v>
      </c>
      <c r="F121" s="387" t="s">
        <v>753</v>
      </c>
      <c r="G121" s="381">
        <v>67</v>
      </c>
      <c r="H121" s="177">
        <f t="shared" si="1"/>
        <v>67</v>
      </c>
      <c r="I121" s="385" t="s">
        <v>757</v>
      </c>
      <c r="J121" s="383">
        <v>42163</v>
      </c>
    </row>
    <row r="122" spans="1:10" x14ac:dyDescent="0.25">
      <c r="A122" s="384" t="s">
        <v>7</v>
      </c>
      <c r="B122" s="378" t="s">
        <v>14</v>
      </c>
      <c r="C122" s="385" t="s">
        <v>41</v>
      </c>
      <c r="D122" s="385" t="str">
        <f ca="1">IFERROR(OFFSET(Camp_List[P_Code],MATCH(Data_Demography_t[[#This Row],[Camp]],Camp_List[Camp Name],0)-1,0,1,1),"")</f>
        <v>MMR012CMP017</v>
      </c>
      <c r="E122" s="382" t="s">
        <v>754</v>
      </c>
      <c r="F122" s="385" t="s">
        <v>752</v>
      </c>
      <c r="G122" s="381">
        <v>1000</v>
      </c>
      <c r="H122" s="177">
        <f t="shared" si="1"/>
        <v>-1000</v>
      </c>
      <c r="I122" s="385" t="s">
        <v>643</v>
      </c>
      <c r="J122" s="383">
        <v>42097</v>
      </c>
    </row>
    <row r="123" spans="1:10" x14ac:dyDescent="0.25">
      <c r="A123" s="384" t="s">
        <v>7</v>
      </c>
      <c r="B123" s="378" t="s">
        <v>14</v>
      </c>
      <c r="C123" s="385" t="s">
        <v>41</v>
      </c>
      <c r="D123" s="385" t="str">
        <f ca="1">IFERROR(OFFSET(Camp_List[P_Code],MATCH(Data_Demography_t[[#This Row],[Camp]],Camp_List[Camp Name],0)-1,0,1,1),"")</f>
        <v>MMR012CMP017</v>
      </c>
      <c r="E123" s="382" t="s">
        <v>754</v>
      </c>
      <c r="F123" s="447" t="s">
        <v>753</v>
      </c>
      <c r="G123" s="381">
        <v>939</v>
      </c>
      <c r="H123" s="177">
        <f t="shared" si="1"/>
        <v>939</v>
      </c>
      <c r="I123" s="385" t="s">
        <v>643</v>
      </c>
      <c r="J123" s="383">
        <v>42097</v>
      </c>
    </row>
    <row r="124" spans="1:10" x14ac:dyDescent="0.25">
      <c r="A124" s="384" t="s">
        <v>7</v>
      </c>
      <c r="B124" s="378" t="s">
        <v>14</v>
      </c>
      <c r="C124" s="385" t="s">
        <v>41</v>
      </c>
      <c r="D124" s="385" t="str">
        <f ca="1">IFERROR(OFFSET(Camp_List[P_Code],MATCH(Data_Demography_t[[#This Row],[Camp]],Camp_List[Camp Name],0)-1,0,1,1),"")</f>
        <v>MMR012CMP017</v>
      </c>
      <c r="E124" s="386" t="s">
        <v>929</v>
      </c>
      <c r="F124" s="385" t="s">
        <v>752</v>
      </c>
      <c r="G124" s="381">
        <v>740</v>
      </c>
      <c r="H124" s="177">
        <f t="shared" si="1"/>
        <v>-740</v>
      </c>
      <c r="I124" s="385" t="s">
        <v>643</v>
      </c>
      <c r="J124" s="383">
        <v>42097</v>
      </c>
    </row>
    <row r="125" spans="1:10" x14ac:dyDescent="0.25">
      <c r="A125" s="384" t="s">
        <v>7</v>
      </c>
      <c r="B125" s="378" t="s">
        <v>14</v>
      </c>
      <c r="C125" s="385" t="s">
        <v>41</v>
      </c>
      <c r="D125" s="385" t="str">
        <f ca="1">IFERROR(OFFSET(Camp_List[P_Code],MATCH(Data_Demography_t[[#This Row],[Camp]],Camp_List[Camp Name],0)-1,0,1,1),"")</f>
        <v>MMR012CMP017</v>
      </c>
      <c r="E125" s="386" t="s">
        <v>929</v>
      </c>
      <c r="F125" s="447" t="s">
        <v>753</v>
      </c>
      <c r="G125" s="381">
        <v>743</v>
      </c>
      <c r="H125" s="177">
        <f t="shared" si="1"/>
        <v>743</v>
      </c>
      <c r="I125" s="385" t="s">
        <v>643</v>
      </c>
      <c r="J125" s="383">
        <v>42097</v>
      </c>
    </row>
    <row r="126" spans="1:10" x14ac:dyDescent="0.25">
      <c r="A126" s="384" t="s">
        <v>7</v>
      </c>
      <c r="B126" s="378" t="s">
        <v>14</v>
      </c>
      <c r="C126" s="385" t="s">
        <v>41</v>
      </c>
      <c r="D126" s="385" t="str">
        <f ca="1">IFERROR(OFFSET(Camp_List[P_Code],MATCH(Data_Demography_t[[#This Row],[Camp]],Camp_List[Camp Name],0)-1,0,1,1),"")</f>
        <v>MMR012CMP017</v>
      </c>
      <c r="E126" s="386" t="s">
        <v>679</v>
      </c>
      <c r="F126" s="387" t="s">
        <v>752</v>
      </c>
      <c r="G126" s="381">
        <v>522</v>
      </c>
      <c r="H126" s="177">
        <f t="shared" si="1"/>
        <v>-522</v>
      </c>
      <c r="I126" s="385" t="s">
        <v>643</v>
      </c>
      <c r="J126" s="383">
        <v>42097</v>
      </c>
    </row>
    <row r="127" spans="1:10" x14ac:dyDescent="0.25">
      <c r="A127" s="384" t="s">
        <v>7</v>
      </c>
      <c r="B127" s="378" t="s">
        <v>14</v>
      </c>
      <c r="C127" s="385" t="s">
        <v>41</v>
      </c>
      <c r="D127" s="385" t="str">
        <f ca="1">IFERROR(OFFSET(Camp_List[P_Code],MATCH(Data_Demography_t[[#This Row],[Camp]],Camp_List[Camp Name],0)-1,0,1,1),"")</f>
        <v>MMR012CMP017</v>
      </c>
      <c r="E127" s="386" t="s">
        <v>679</v>
      </c>
      <c r="F127" s="387" t="s">
        <v>753</v>
      </c>
      <c r="G127" s="381">
        <v>383</v>
      </c>
      <c r="H127" s="177">
        <f t="shared" si="1"/>
        <v>383</v>
      </c>
      <c r="I127" s="385" t="s">
        <v>643</v>
      </c>
      <c r="J127" s="383">
        <v>42097</v>
      </c>
    </row>
    <row r="128" spans="1:10" x14ac:dyDescent="0.25">
      <c r="A128" s="384" t="s">
        <v>7</v>
      </c>
      <c r="B128" s="378" t="s">
        <v>14</v>
      </c>
      <c r="C128" s="385" t="s">
        <v>41</v>
      </c>
      <c r="D128" s="385" t="str">
        <f ca="1">IFERROR(OFFSET(Camp_List[P_Code],MATCH(Data_Demography_t[[#This Row],[Camp]],Camp_List[Camp Name],0)-1,0,1,1),"")</f>
        <v>MMR012CMP017</v>
      </c>
      <c r="E128" s="386" t="s">
        <v>930</v>
      </c>
      <c r="F128" s="387" t="s">
        <v>752</v>
      </c>
      <c r="G128" s="381">
        <v>509</v>
      </c>
      <c r="H128" s="177">
        <f t="shared" si="1"/>
        <v>-509</v>
      </c>
      <c r="I128" s="385" t="s">
        <v>643</v>
      </c>
      <c r="J128" s="383">
        <v>42097</v>
      </c>
    </row>
    <row r="129" spans="1:11" x14ac:dyDescent="0.25">
      <c r="A129" s="384" t="s">
        <v>7</v>
      </c>
      <c r="B129" s="378" t="s">
        <v>14</v>
      </c>
      <c r="C129" s="385" t="s">
        <v>41</v>
      </c>
      <c r="D129" s="385" t="str">
        <f ca="1">IFERROR(OFFSET(Camp_List[P_Code],MATCH(Data_Demography_t[[#This Row],[Camp]],Camp_List[Camp Name],0)-1,0,1,1),"")</f>
        <v>MMR012CMP017</v>
      </c>
      <c r="E129" s="386" t="s">
        <v>930</v>
      </c>
      <c r="F129" s="387" t="s">
        <v>753</v>
      </c>
      <c r="G129" s="381">
        <v>758</v>
      </c>
      <c r="H129" s="177">
        <f t="shared" si="1"/>
        <v>758</v>
      </c>
      <c r="I129" s="385" t="s">
        <v>643</v>
      </c>
      <c r="J129" s="383">
        <v>42097</v>
      </c>
    </row>
    <row r="130" spans="1:11" x14ac:dyDescent="0.25">
      <c r="A130" s="384" t="s">
        <v>7</v>
      </c>
      <c r="B130" s="378" t="s">
        <v>14</v>
      </c>
      <c r="C130" s="385" t="s">
        <v>41</v>
      </c>
      <c r="D130" s="385" t="str">
        <f ca="1">IFERROR(OFFSET(Camp_List[P_Code],MATCH(Data_Demography_t[[#This Row],[Camp]],Camp_List[Camp Name],0)-1,0,1,1),"")</f>
        <v>MMR012CMP017</v>
      </c>
      <c r="E130" s="386" t="s">
        <v>931</v>
      </c>
      <c r="F130" s="387" t="s">
        <v>752</v>
      </c>
      <c r="G130" s="381">
        <v>850</v>
      </c>
      <c r="H130" s="177">
        <f t="shared" ref="H130:H193" si="2">IF(F130="M",-G130,G130)</f>
        <v>-850</v>
      </c>
      <c r="I130" s="385" t="s">
        <v>643</v>
      </c>
      <c r="J130" s="383">
        <v>42097</v>
      </c>
    </row>
    <row r="131" spans="1:11" x14ac:dyDescent="0.25">
      <c r="A131" s="384" t="s">
        <v>7</v>
      </c>
      <c r="B131" s="378" t="s">
        <v>14</v>
      </c>
      <c r="C131" s="385" t="s">
        <v>41</v>
      </c>
      <c r="D131" s="385" t="str">
        <f ca="1">IFERROR(OFFSET(Camp_List[P_Code],MATCH(Data_Demography_t[[#This Row],[Camp]],Camp_List[Camp Name],0)-1,0,1,1),"")</f>
        <v>MMR012CMP017</v>
      </c>
      <c r="E131" s="386" t="s">
        <v>931</v>
      </c>
      <c r="F131" s="387" t="s">
        <v>753</v>
      </c>
      <c r="G131" s="381">
        <v>747</v>
      </c>
      <c r="H131" s="177">
        <f t="shared" si="2"/>
        <v>747</v>
      </c>
      <c r="I131" s="385" t="s">
        <v>643</v>
      </c>
      <c r="J131" s="383">
        <v>42097</v>
      </c>
    </row>
    <row r="132" spans="1:11" x14ac:dyDescent="0.25">
      <c r="A132" s="384" t="s">
        <v>7</v>
      </c>
      <c r="B132" s="378" t="s">
        <v>14</v>
      </c>
      <c r="C132" s="385" t="s">
        <v>41</v>
      </c>
      <c r="D132" s="385" t="str">
        <f ca="1">IFERROR(OFFSET(Camp_List[P_Code],MATCH(Data_Demography_t[[#This Row],[Camp]],Camp_List[Camp Name],0)-1,0,1,1),"")</f>
        <v>MMR012CMP017</v>
      </c>
      <c r="E132" s="386" t="s">
        <v>905</v>
      </c>
      <c r="F132" s="387" t="s">
        <v>752</v>
      </c>
      <c r="G132" s="381">
        <v>117</v>
      </c>
      <c r="H132" s="177">
        <f t="shared" si="2"/>
        <v>-117</v>
      </c>
      <c r="I132" s="385" t="s">
        <v>643</v>
      </c>
      <c r="J132" s="383">
        <v>42097</v>
      </c>
    </row>
    <row r="133" spans="1:11" x14ac:dyDescent="0.25">
      <c r="A133" s="384" t="s">
        <v>7</v>
      </c>
      <c r="B133" s="378" t="s">
        <v>14</v>
      </c>
      <c r="C133" s="385" t="s">
        <v>41</v>
      </c>
      <c r="D133" s="385" t="str">
        <f ca="1">IFERROR(OFFSET(Camp_List[P_Code],MATCH(Data_Demography_t[[#This Row],[Camp]],Camp_List[Camp Name],0)-1,0,1,1),"")</f>
        <v>MMR012CMP017</v>
      </c>
      <c r="E133" s="386" t="s">
        <v>905</v>
      </c>
      <c r="F133" s="387" t="s">
        <v>753</v>
      </c>
      <c r="G133" s="381">
        <v>94</v>
      </c>
      <c r="H133" s="177">
        <f t="shared" si="2"/>
        <v>94</v>
      </c>
      <c r="I133" s="385" t="s">
        <v>643</v>
      </c>
      <c r="J133" s="383">
        <v>42097</v>
      </c>
    </row>
    <row r="134" spans="1:11" x14ac:dyDescent="0.25">
      <c r="A134" s="384" t="s">
        <v>7</v>
      </c>
      <c r="B134" s="378" t="s">
        <v>19</v>
      </c>
      <c r="C134" s="385" t="s">
        <v>654</v>
      </c>
      <c r="D134" s="385" t="str">
        <f ca="1">IFERROR(OFFSET(Camp_List[P_Code],MATCH(Data_Demography_t[[#This Row],[Camp]],Camp_List[Camp Name],0)-1,0,1,1),"")</f>
        <v>MMR012CMP098</v>
      </c>
      <c r="E134" s="411" t="s">
        <v>754</v>
      </c>
      <c r="F134" s="409" t="s">
        <v>752</v>
      </c>
      <c r="G134" s="381">
        <v>352</v>
      </c>
      <c r="H134" s="177">
        <f t="shared" si="2"/>
        <v>-352</v>
      </c>
      <c r="I134" s="385" t="s">
        <v>291</v>
      </c>
      <c r="J134" s="383">
        <v>42080</v>
      </c>
    </row>
    <row r="135" spans="1:11" x14ac:dyDescent="0.25">
      <c r="A135" s="384" t="s">
        <v>7</v>
      </c>
      <c r="B135" s="378" t="s">
        <v>19</v>
      </c>
      <c r="C135" s="385" t="s">
        <v>654</v>
      </c>
      <c r="D135" s="385" t="str">
        <f ca="1">IFERROR(OFFSET(Camp_List[P_Code],MATCH(Data_Demography_t[[#This Row],[Camp]],Camp_List[Camp Name],0)-1,0,1,1),"")</f>
        <v>MMR012CMP098</v>
      </c>
      <c r="E135" s="411" t="s">
        <v>754</v>
      </c>
      <c r="F135" s="409" t="s">
        <v>753</v>
      </c>
      <c r="G135" s="381">
        <v>415</v>
      </c>
      <c r="H135" s="177">
        <f t="shared" si="2"/>
        <v>415</v>
      </c>
      <c r="I135" s="385" t="s">
        <v>291</v>
      </c>
      <c r="J135" s="383">
        <v>42080</v>
      </c>
    </row>
    <row r="136" spans="1:11" x14ac:dyDescent="0.25">
      <c r="A136" s="384" t="s">
        <v>7</v>
      </c>
      <c r="B136" s="378" t="s">
        <v>19</v>
      </c>
      <c r="C136" s="385" t="s">
        <v>654</v>
      </c>
      <c r="D136" s="465" t="str">
        <f ca="1">IFERROR(OFFSET(Camp_List[P_Code],MATCH(Data_Demography_t[[#This Row],[Camp]],Camp_List[Camp Name],0)-1,0,1,1),"")</f>
        <v>MMR012CMP098</v>
      </c>
      <c r="E136" s="411" t="s">
        <v>929</v>
      </c>
      <c r="F136" s="409" t="s">
        <v>752</v>
      </c>
      <c r="G136" s="466">
        <v>429</v>
      </c>
      <c r="H136" s="467">
        <f t="shared" si="2"/>
        <v>-429</v>
      </c>
      <c r="I136" s="385" t="s">
        <v>291</v>
      </c>
      <c r="J136" s="383">
        <v>42080</v>
      </c>
    </row>
    <row r="137" spans="1:11" x14ac:dyDescent="0.25">
      <c r="A137" s="384" t="s">
        <v>7</v>
      </c>
      <c r="B137" s="378" t="s">
        <v>19</v>
      </c>
      <c r="C137" s="385" t="s">
        <v>654</v>
      </c>
      <c r="D137" s="465" t="str">
        <f ca="1">IFERROR(OFFSET(Camp_List[P_Code],MATCH(Data_Demography_t[[#This Row],[Camp]],Camp_List[Camp Name],0)-1,0,1,1),"")</f>
        <v>MMR012CMP098</v>
      </c>
      <c r="E137" s="411" t="s">
        <v>929</v>
      </c>
      <c r="F137" s="409" t="s">
        <v>753</v>
      </c>
      <c r="G137" s="466">
        <v>365</v>
      </c>
      <c r="H137" s="467">
        <f t="shared" si="2"/>
        <v>365</v>
      </c>
      <c r="I137" s="385" t="s">
        <v>291</v>
      </c>
      <c r="J137" s="383">
        <v>42080</v>
      </c>
    </row>
    <row r="138" spans="1:11" s="298" customFormat="1" x14ac:dyDescent="0.25">
      <c r="A138" s="384" t="s">
        <v>7</v>
      </c>
      <c r="B138" s="378" t="s">
        <v>19</v>
      </c>
      <c r="C138" s="385" t="s">
        <v>654</v>
      </c>
      <c r="D138" s="385" t="str">
        <f ca="1">IFERROR(OFFSET(Camp_List[P_Code],MATCH(Data_Demography_t[[#This Row],[Camp]],Camp_List[Camp Name],0)-1,0,1,1),"")</f>
        <v>MMR012CMP098</v>
      </c>
      <c r="E138" s="411" t="s">
        <v>679</v>
      </c>
      <c r="F138" s="409" t="s">
        <v>752</v>
      </c>
      <c r="G138" s="381">
        <v>259</v>
      </c>
      <c r="H138" s="177">
        <f t="shared" si="2"/>
        <v>-259</v>
      </c>
      <c r="I138" s="385" t="s">
        <v>291</v>
      </c>
      <c r="J138" s="383">
        <v>42080</v>
      </c>
      <c r="K138" s="410"/>
    </row>
    <row r="139" spans="1:11" s="298" customFormat="1" x14ac:dyDescent="0.25">
      <c r="A139" s="384" t="s">
        <v>7</v>
      </c>
      <c r="B139" s="378" t="s">
        <v>19</v>
      </c>
      <c r="C139" s="385" t="s">
        <v>654</v>
      </c>
      <c r="D139" s="385" t="str">
        <f ca="1">IFERROR(OFFSET(Camp_List[P_Code],MATCH(Data_Demography_t[[#This Row],[Camp]],Camp_List[Camp Name],0)-1,0,1,1),"")</f>
        <v>MMR012CMP098</v>
      </c>
      <c r="E139" s="411" t="s">
        <v>679</v>
      </c>
      <c r="F139" s="409" t="s">
        <v>753</v>
      </c>
      <c r="G139" s="381">
        <v>224</v>
      </c>
      <c r="H139" s="177">
        <f t="shared" si="2"/>
        <v>224</v>
      </c>
      <c r="I139" s="385" t="s">
        <v>291</v>
      </c>
      <c r="J139" s="383">
        <v>42080</v>
      </c>
      <c r="K139" s="410"/>
    </row>
    <row r="140" spans="1:11" s="298" customFormat="1" x14ac:dyDescent="0.25">
      <c r="A140" s="384" t="s">
        <v>7</v>
      </c>
      <c r="B140" s="378" t="s">
        <v>19</v>
      </c>
      <c r="C140" s="385" t="s">
        <v>654</v>
      </c>
      <c r="D140" s="385" t="str">
        <f ca="1">IFERROR(OFFSET(Camp_List[P_Code],MATCH(Data_Demography_t[[#This Row],[Camp]],Camp_List[Camp Name],0)-1,0,1,1),"")</f>
        <v>MMR012CMP098</v>
      </c>
      <c r="E140" s="386" t="s">
        <v>930</v>
      </c>
      <c r="F140" s="385" t="s">
        <v>752</v>
      </c>
      <c r="G140" s="381">
        <v>243</v>
      </c>
      <c r="H140" s="177">
        <f t="shared" si="2"/>
        <v>-243</v>
      </c>
      <c r="I140" s="385" t="s">
        <v>291</v>
      </c>
      <c r="J140" s="383">
        <v>42080</v>
      </c>
      <c r="K140" s="410"/>
    </row>
    <row r="141" spans="1:11" s="298" customFormat="1" x14ac:dyDescent="0.25">
      <c r="A141" s="384" t="s">
        <v>7</v>
      </c>
      <c r="B141" s="378" t="s">
        <v>19</v>
      </c>
      <c r="C141" s="385" t="s">
        <v>654</v>
      </c>
      <c r="D141" s="385" t="str">
        <f ca="1">IFERROR(OFFSET(Camp_List[P_Code],MATCH(Data_Demography_t[[#This Row],[Camp]],Camp_List[Camp Name],0)-1,0,1,1),"")</f>
        <v>MMR012CMP098</v>
      </c>
      <c r="E141" s="386" t="s">
        <v>930</v>
      </c>
      <c r="F141" s="447" t="s">
        <v>753</v>
      </c>
      <c r="G141" s="381">
        <v>291</v>
      </c>
      <c r="H141" s="177">
        <f t="shared" si="2"/>
        <v>291</v>
      </c>
      <c r="I141" s="385" t="s">
        <v>291</v>
      </c>
      <c r="J141" s="383">
        <v>42080</v>
      </c>
      <c r="K141" s="410"/>
    </row>
    <row r="142" spans="1:11" s="298" customFormat="1" x14ac:dyDescent="0.25">
      <c r="A142" s="384" t="s">
        <v>7</v>
      </c>
      <c r="B142" s="378" t="s">
        <v>19</v>
      </c>
      <c r="C142" s="385" t="s">
        <v>654</v>
      </c>
      <c r="D142" s="385" t="str">
        <f ca="1">IFERROR(OFFSET(Camp_List[P_Code],MATCH(Data_Demography_t[[#This Row],[Camp]],Camp_List[Camp Name],0)-1,0,1,1),"")</f>
        <v>MMR012CMP098</v>
      </c>
      <c r="E142" s="386" t="s">
        <v>931</v>
      </c>
      <c r="F142" s="385" t="s">
        <v>752</v>
      </c>
      <c r="G142" s="381">
        <v>364</v>
      </c>
      <c r="H142" s="177">
        <f t="shared" si="2"/>
        <v>-364</v>
      </c>
      <c r="I142" s="385" t="s">
        <v>291</v>
      </c>
      <c r="J142" s="383">
        <v>42080</v>
      </c>
      <c r="K142" s="410"/>
    </row>
    <row r="143" spans="1:11" s="298" customFormat="1" x14ac:dyDescent="0.25">
      <c r="A143" s="384" t="s">
        <v>7</v>
      </c>
      <c r="B143" s="378" t="s">
        <v>19</v>
      </c>
      <c r="C143" s="385" t="s">
        <v>654</v>
      </c>
      <c r="D143" s="385" t="str">
        <f ca="1">IFERROR(OFFSET(Camp_List[P_Code],MATCH(Data_Demography_t[[#This Row],[Camp]],Camp_List[Camp Name],0)-1,0,1,1),"")</f>
        <v>MMR012CMP098</v>
      </c>
      <c r="E143" s="386" t="s">
        <v>931</v>
      </c>
      <c r="F143" s="447" t="s">
        <v>753</v>
      </c>
      <c r="G143" s="381">
        <v>375</v>
      </c>
      <c r="H143" s="177">
        <f t="shared" si="2"/>
        <v>375</v>
      </c>
      <c r="I143" s="385" t="s">
        <v>291</v>
      </c>
      <c r="J143" s="383">
        <v>42080</v>
      </c>
      <c r="K143" s="410"/>
    </row>
    <row r="144" spans="1:11" s="298" customFormat="1" x14ac:dyDescent="0.25">
      <c r="A144" s="384" t="s">
        <v>7</v>
      </c>
      <c r="B144" s="378" t="s">
        <v>19</v>
      </c>
      <c r="C144" s="385" t="s">
        <v>654</v>
      </c>
      <c r="D144" s="385" t="str">
        <f ca="1">IFERROR(OFFSET(Camp_List[P_Code],MATCH(Data_Demography_t[[#This Row],[Camp]],Camp_List[Camp Name],0)-1,0,1,1),"")</f>
        <v>MMR012CMP098</v>
      </c>
      <c r="E144" s="386" t="s">
        <v>905</v>
      </c>
      <c r="F144" s="385" t="s">
        <v>752</v>
      </c>
      <c r="G144" s="381">
        <v>45</v>
      </c>
      <c r="H144" s="177">
        <f t="shared" si="2"/>
        <v>-45</v>
      </c>
      <c r="I144" s="385" t="s">
        <v>291</v>
      </c>
      <c r="J144" s="383">
        <v>42080</v>
      </c>
      <c r="K144" s="410"/>
    </row>
    <row r="145" spans="1:11" s="298" customFormat="1" x14ac:dyDescent="0.25">
      <c r="A145" s="384" t="s">
        <v>7</v>
      </c>
      <c r="B145" s="378" t="s">
        <v>19</v>
      </c>
      <c r="C145" s="385" t="s">
        <v>654</v>
      </c>
      <c r="D145" s="385" t="str">
        <f ca="1">IFERROR(OFFSET(Camp_List[P_Code],MATCH(Data_Demography_t[[#This Row],[Camp]],Camp_List[Camp Name],0)-1,0,1,1),"")</f>
        <v>MMR012CMP098</v>
      </c>
      <c r="E145" s="386" t="s">
        <v>905</v>
      </c>
      <c r="F145" s="447" t="s">
        <v>753</v>
      </c>
      <c r="G145" s="381">
        <v>27</v>
      </c>
      <c r="H145" s="177">
        <f t="shared" si="2"/>
        <v>27</v>
      </c>
      <c r="I145" s="385" t="s">
        <v>291</v>
      </c>
      <c r="J145" s="383">
        <v>42080</v>
      </c>
      <c r="K145" s="410"/>
    </row>
    <row r="146" spans="1:11" s="298" customFormat="1" x14ac:dyDescent="0.25">
      <c r="A146" s="445" t="s">
        <v>7</v>
      </c>
      <c r="B146" s="446" t="s">
        <v>19</v>
      </c>
      <c r="C146" s="449" t="s">
        <v>655</v>
      </c>
      <c r="D146" s="449" t="str">
        <f ca="1">IFERROR(OFFSET(Camp_List[P_Code],MATCH(Data_Demography_t[[#This Row],[Camp]],Camp_List[Camp Name],0)-1,0,1,1),"")</f>
        <v>MMR012CMP115</v>
      </c>
      <c r="E146" s="450" t="s">
        <v>754</v>
      </c>
      <c r="F146" s="451" t="s">
        <v>752</v>
      </c>
      <c r="G146" s="402">
        <v>1479</v>
      </c>
      <c r="H146" s="177">
        <f t="shared" si="2"/>
        <v>-1479</v>
      </c>
      <c r="I146" s="449" t="s">
        <v>291</v>
      </c>
      <c r="J146" s="383">
        <v>42101</v>
      </c>
      <c r="K146" s="410"/>
    </row>
    <row r="147" spans="1:11" s="298" customFormat="1" x14ac:dyDescent="0.25">
      <c r="A147" s="445" t="s">
        <v>7</v>
      </c>
      <c r="B147" s="446" t="s">
        <v>19</v>
      </c>
      <c r="C147" s="449" t="s">
        <v>655</v>
      </c>
      <c r="D147" s="449" t="str">
        <f ca="1">IFERROR(OFFSET(Camp_List[P_Code],MATCH(Data_Demography_t[[#This Row],[Camp]],Camp_List[Camp Name],0)-1,0,1,1),"")</f>
        <v>MMR012CMP115</v>
      </c>
      <c r="E147" s="450" t="s">
        <v>754</v>
      </c>
      <c r="F147" s="451" t="s">
        <v>753</v>
      </c>
      <c r="G147" s="402">
        <v>1429</v>
      </c>
      <c r="H147" s="177">
        <f t="shared" si="2"/>
        <v>1429</v>
      </c>
      <c r="I147" s="449" t="s">
        <v>291</v>
      </c>
      <c r="J147" s="383">
        <v>42101</v>
      </c>
      <c r="K147" s="410"/>
    </row>
    <row r="148" spans="1:11" s="298" customFormat="1" x14ac:dyDescent="0.25">
      <c r="A148" s="445" t="s">
        <v>7</v>
      </c>
      <c r="B148" s="446" t="s">
        <v>19</v>
      </c>
      <c r="C148" s="449" t="s">
        <v>655</v>
      </c>
      <c r="D148" s="449" t="str">
        <f ca="1">IFERROR(OFFSET(Camp_List[P_Code],MATCH(Data_Demography_t[[#This Row],[Camp]],Camp_List[Camp Name],0)-1,0,1,1),"")</f>
        <v>MMR012CMP115</v>
      </c>
      <c r="E148" s="450" t="s">
        <v>929</v>
      </c>
      <c r="F148" s="451" t="s">
        <v>752</v>
      </c>
      <c r="G148" s="402">
        <v>1461</v>
      </c>
      <c r="H148" s="177">
        <f t="shared" si="2"/>
        <v>-1461</v>
      </c>
      <c r="I148" s="449" t="s">
        <v>291</v>
      </c>
      <c r="J148" s="383">
        <v>42101</v>
      </c>
      <c r="K148" s="410"/>
    </row>
    <row r="149" spans="1:11" s="298" customFormat="1" x14ac:dyDescent="0.25">
      <c r="A149" s="445" t="s">
        <v>7</v>
      </c>
      <c r="B149" s="446" t="s">
        <v>19</v>
      </c>
      <c r="C149" s="449" t="s">
        <v>655</v>
      </c>
      <c r="D149" s="449" t="str">
        <f ca="1">IFERROR(OFFSET(Camp_List[P_Code],MATCH(Data_Demography_t[[#This Row],[Camp]],Camp_List[Camp Name],0)-1,0,1,1),"")</f>
        <v>MMR012CMP115</v>
      </c>
      <c r="E149" s="450" t="s">
        <v>929</v>
      </c>
      <c r="F149" s="451" t="s">
        <v>753</v>
      </c>
      <c r="G149" s="402">
        <v>1300</v>
      </c>
      <c r="H149" s="177">
        <f t="shared" si="2"/>
        <v>1300</v>
      </c>
      <c r="I149" s="449" t="s">
        <v>291</v>
      </c>
      <c r="J149" s="383">
        <v>42101</v>
      </c>
      <c r="K149" s="410"/>
    </row>
    <row r="150" spans="1:11" s="298" customFormat="1" x14ac:dyDescent="0.25">
      <c r="A150" s="445" t="s">
        <v>7</v>
      </c>
      <c r="B150" s="446" t="s">
        <v>19</v>
      </c>
      <c r="C150" s="449" t="s">
        <v>655</v>
      </c>
      <c r="D150" s="449" t="str">
        <f ca="1">IFERROR(OFFSET(Camp_List[P_Code],MATCH(Data_Demography_t[[#This Row],[Camp]],Camp_List[Camp Name],0)-1,0,1,1),"")</f>
        <v>MMR012CMP115</v>
      </c>
      <c r="E150" s="450" t="s">
        <v>679</v>
      </c>
      <c r="F150" s="451" t="s">
        <v>752</v>
      </c>
      <c r="G150" s="402">
        <v>1004</v>
      </c>
      <c r="H150" s="177">
        <f t="shared" si="2"/>
        <v>-1004</v>
      </c>
      <c r="I150" s="449" t="s">
        <v>291</v>
      </c>
      <c r="J150" s="383">
        <v>42101</v>
      </c>
      <c r="K150" s="410"/>
    </row>
    <row r="151" spans="1:11" s="298" customFormat="1" x14ac:dyDescent="0.25">
      <c r="A151" s="445" t="s">
        <v>7</v>
      </c>
      <c r="B151" s="446" t="s">
        <v>19</v>
      </c>
      <c r="C151" s="449" t="s">
        <v>655</v>
      </c>
      <c r="D151" s="449" t="str">
        <f ca="1">IFERROR(OFFSET(Camp_List[P_Code],MATCH(Data_Demography_t[[#This Row],[Camp]],Camp_List[Camp Name],0)-1,0,1,1),"")</f>
        <v>MMR012CMP115</v>
      </c>
      <c r="E151" s="450" t="s">
        <v>679</v>
      </c>
      <c r="F151" s="451" t="s">
        <v>753</v>
      </c>
      <c r="G151" s="402">
        <v>907</v>
      </c>
      <c r="H151" s="177">
        <f t="shared" si="2"/>
        <v>907</v>
      </c>
      <c r="I151" s="449" t="s">
        <v>291</v>
      </c>
      <c r="J151" s="383">
        <v>42101</v>
      </c>
      <c r="K151" s="410"/>
    </row>
    <row r="152" spans="1:11" x14ac:dyDescent="0.25">
      <c r="A152" s="384" t="s">
        <v>7</v>
      </c>
      <c r="B152" s="378" t="s">
        <v>19</v>
      </c>
      <c r="C152" s="385" t="s">
        <v>655</v>
      </c>
      <c r="D152" s="385" t="str">
        <f ca="1">IFERROR(OFFSET(Camp_List[P_Code],MATCH(Data_Demography_t[[#This Row],[Camp]],Camp_List[Camp Name],0)-1,0,1,1),"")</f>
        <v>MMR012CMP115</v>
      </c>
      <c r="E152" s="411" t="s">
        <v>930</v>
      </c>
      <c r="F152" s="409" t="s">
        <v>752</v>
      </c>
      <c r="G152" s="381">
        <v>1034</v>
      </c>
      <c r="H152" s="177">
        <f t="shared" si="2"/>
        <v>-1034</v>
      </c>
      <c r="I152" s="385" t="s">
        <v>291</v>
      </c>
      <c r="J152" s="383">
        <v>42101</v>
      </c>
    </row>
    <row r="153" spans="1:11" x14ac:dyDescent="0.25">
      <c r="A153" s="384" t="s">
        <v>7</v>
      </c>
      <c r="B153" s="378" t="s">
        <v>19</v>
      </c>
      <c r="C153" s="385" t="s">
        <v>655</v>
      </c>
      <c r="D153" s="385" t="str">
        <f ca="1">IFERROR(OFFSET(Camp_List[P_Code],MATCH(Data_Demography_t[[#This Row],[Camp]],Camp_List[Camp Name],0)-1,0,1,1),"")</f>
        <v>MMR012CMP115</v>
      </c>
      <c r="E153" s="411" t="s">
        <v>930</v>
      </c>
      <c r="F153" s="409" t="s">
        <v>753</v>
      </c>
      <c r="G153" s="381">
        <v>1495</v>
      </c>
      <c r="H153" s="177">
        <f t="shared" si="2"/>
        <v>1495</v>
      </c>
      <c r="I153" s="385" t="s">
        <v>291</v>
      </c>
      <c r="J153" s="383">
        <v>42101</v>
      </c>
    </row>
    <row r="154" spans="1:11" x14ac:dyDescent="0.25">
      <c r="A154" s="384" t="s">
        <v>7</v>
      </c>
      <c r="B154" s="378" t="s">
        <v>19</v>
      </c>
      <c r="C154" s="385" t="s">
        <v>655</v>
      </c>
      <c r="D154" s="385" t="str">
        <f ca="1">IFERROR(OFFSET(Camp_List[P_Code],MATCH(Data_Demography_t[[#This Row],[Camp]],Camp_List[Camp Name],0)-1,0,1,1),"")</f>
        <v>MMR012CMP115</v>
      </c>
      <c r="E154" s="411" t="s">
        <v>931</v>
      </c>
      <c r="F154" s="409" t="s">
        <v>752</v>
      </c>
      <c r="G154" s="381">
        <v>1406</v>
      </c>
      <c r="H154" s="177">
        <f t="shared" si="2"/>
        <v>-1406</v>
      </c>
      <c r="I154" s="385" t="s">
        <v>291</v>
      </c>
      <c r="J154" s="383">
        <v>42101</v>
      </c>
    </row>
    <row r="155" spans="1:11" x14ac:dyDescent="0.25">
      <c r="A155" s="384" t="s">
        <v>7</v>
      </c>
      <c r="B155" s="378" t="s">
        <v>19</v>
      </c>
      <c r="C155" s="385" t="s">
        <v>655</v>
      </c>
      <c r="D155" s="385" t="str">
        <f ca="1">IFERROR(OFFSET(Camp_List[P_Code],MATCH(Data_Demography_t[[#This Row],[Camp]],Camp_List[Camp Name],0)-1,0,1,1),"")</f>
        <v>MMR012CMP115</v>
      </c>
      <c r="E155" s="411" t="s">
        <v>931</v>
      </c>
      <c r="F155" s="409" t="s">
        <v>753</v>
      </c>
      <c r="G155" s="381">
        <v>1562</v>
      </c>
      <c r="H155" s="177">
        <f t="shared" si="2"/>
        <v>1562</v>
      </c>
      <c r="I155" s="385" t="s">
        <v>291</v>
      </c>
      <c r="J155" s="383">
        <v>42101</v>
      </c>
    </row>
    <row r="156" spans="1:11" x14ac:dyDescent="0.25">
      <c r="A156" s="384" t="s">
        <v>7</v>
      </c>
      <c r="B156" s="378" t="s">
        <v>19</v>
      </c>
      <c r="C156" s="385" t="s">
        <v>655</v>
      </c>
      <c r="D156" s="385" t="str">
        <f ca="1">IFERROR(OFFSET(Camp_List[P_Code],MATCH(Data_Demography_t[[#This Row],[Camp]],Camp_List[Camp Name],0)-1,0,1,1),"")</f>
        <v>MMR012CMP115</v>
      </c>
      <c r="E156" s="411" t="s">
        <v>905</v>
      </c>
      <c r="F156" s="409" t="s">
        <v>752</v>
      </c>
      <c r="G156" s="381">
        <v>259</v>
      </c>
      <c r="H156" s="177">
        <f t="shared" si="2"/>
        <v>-259</v>
      </c>
      <c r="I156" s="385" t="s">
        <v>291</v>
      </c>
      <c r="J156" s="383">
        <v>42101</v>
      </c>
    </row>
    <row r="157" spans="1:11" x14ac:dyDescent="0.25">
      <c r="A157" s="384" t="s">
        <v>7</v>
      </c>
      <c r="B157" s="378" t="s">
        <v>19</v>
      </c>
      <c r="C157" s="385" t="s">
        <v>655</v>
      </c>
      <c r="D157" s="385" t="str">
        <f ca="1">IFERROR(OFFSET(Camp_List[P_Code],MATCH(Data_Demography_t[[#This Row],[Camp]],Camp_List[Camp Name],0)-1,0,1,1),"")</f>
        <v>MMR012CMP115</v>
      </c>
      <c r="E157" s="411" t="s">
        <v>905</v>
      </c>
      <c r="F157" s="409" t="s">
        <v>753</v>
      </c>
      <c r="G157" s="381">
        <v>319</v>
      </c>
      <c r="H157" s="177">
        <f t="shared" si="2"/>
        <v>319</v>
      </c>
      <c r="I157" s="385" t="s">
        <v>291</v>
      </c>
      <c r="J157" s="383">
        <v>42101</v>
      </c>
    </row>
    <row r="158" spans="1:11" x14ac:dyDescent="0.25">
      <c r="A158" s="384" t="s">
        <v>7</v>
      </c>
      <c r="B158" s="378" t="s">
        <v>19</v>
      </c>
      <c r="C158" s="378" t="s">
        <v>656</v>
      </c>
      <c r="D158" s="385" t="str">
        <f ca="1">IFERROR(OFFSET(Camp_List[P_Code],MATCH(Data_Demography_t[[#This Row],[Camp]],Camp_List[Camp Name],0)-1,0,1,1),"")</f>
        <v>MMR012CMP116</v>
      </c>
      <c r="E158" s="386" t="s">
        <v>754</v>
      </c>
      <c r="F158" s="385" t="s">
        <v>752</v>
      </c>
      <c r="G158" s="381">
        <v>1179</v>
      </c>
      <c r="H158" s="177">
        <f t="shared" si="2"/>
        <v>-1179</v>
      </c>
      <c r="I158" s="378" t="s">
        <v>643</v>
      </c>
      <c r="J158" s="377">
        <v>42102</v>
      </c>
    </row>
    <row r="159" spans="1:11" x14ac:dyDescent="0.25">
      <c r="A159" s="384" t="s">
        <v>7</v>
      </c>
      <c r="B159" s="378" t="s">
        <v>19</v>
      </c>
      <c r="C159" s="378" t="s">
        <v>656</v>
      </c>
      <c r="D159" s="385" t="str">
        <f ca="1">IFERROR(OFFSET(Camp_List[P_Code],MATCH(Data_Demography_t[[#This Row],[Camp]],Camp_List[Camp Name],0)-1,0,1,1),"")</f>
        <v>MMR012CMP116</v>
      </c>
      <c r="E159" s="386" t="s">
        <v>754</v>
      </c>
      <c r="F159" s="447" t="s">
        <v>753</v>
      </c>
      <c r="G159" s="381">
        <v>1150</v>
      </c>
      <c r="H159" s="177">
        <f t="shared" si="2"/>
        <v>1150</v>
      </c>
      <c r="I159" s="378" t="s">
        <v>643</v>
      </c>
      <c r="J159" s="377">
        <v>42102</v>
      </c>
    </row>
    <row r="160" spans="1:11" x14ac:dyDescent="0.25">
      <c r="A160" s="384" t="s">
        <v>7</v>
      </c>
      <c r="B160" s="378" t="s">
        <v>19</v>
      </c>
      <c r="C160" s="378" t="s">
        <v>656</v>
      </c>
      <c r="D160" s="385" t="str">
        <f ca="1">IFERROR(OFFSET(Camp_List[P_Code],MATCH(Data_Demography_t[[#This Row],[Camp]],Camp_List[Camp Name],0)-1,0,1,1),"")</f>
        <v>MMR012CMP116</v>
      </c>
      <c r="E160" s="386" t="s">
        <v>929</v>
      </c>
      <c r="F160" s="385" t="s">
        <v>752</v>
      </c>
      <c r="G160" s="381">
        <v>1316</v>
      </c>
      <c r="H160" s="177">
        <f t="shared" si="2"/>
        <v>-1316</v>
      </c>
      <c r="I160" s="378" t="s">
        <v>643</v>
      </c>
      <c r="J160" s="377">
        <v>42102</v>
      </c>
    </row>
    <row r="161" spans="1:10" x14ac:dyDescent="0.25">
      <c r="A161" s="384" t="s">
        <v>7</v>
      </c>
      <c r="B161" s="378" t="s">
        <v>19</v>
      </c>
      <c r="C161" s="378" t="s">
        <v>656</v>
      </c>
      <c r="D161" s="385" t="str">
        <f ca="1">IFERROR(OFFSET(Camp_List[P_Code],MATCH(Data_Demography_t[[#This Row],[Camp]],Camp_List[Camp Name],0)-1,0,1,1),"")</f>
        <v>MMR012CMP116</v>
      </c>
      <c r="E161" s="386" t="s">
        <v>929</v>
      </c>
      <c r="F161" s="447" t="s">
        <v>753</v>
      </c>
      <c r="G161" s="381">
        <v>1190</v>
      </c>
      <c r="H161" s="177">
        <f t="shared" si="2"/>
        <v>1190</v>
      </c>
      <c r="I161" s="378" t="s">
        <v>643</v>
      </c>
      <c r="J161" s="377">
        <v>42102</v>
      </c>
    </row>
    <row r="162" spans="1:10" x14ac:dyDescent="0.25">
      <c r="A162" s="384" t="s">
        <v>7</v>
      </c>
      <c r="B162" s="378" t="s">
        <v>19</v>
      </c>
      <c r="C162" s="378" t="s">
        <v>656</v>
      </c>
      <c r="D162" s="385" t="str">
        <f ca="1">IFERROR(OFFSET(Camp_List[P_Code],MATCH(Data_Demography_t[[#This Row],[Camp]],Camp_List[Camp Name],0)-1,0,1,1),"")</f>
        <v>MMR012CMP116</v>
      </c>
      <c r="E162" s="382" t="s">
        <v>679</v>
      </c>
      <c r="F162" s="385" t="s">
        <v>752</v>
      </c>
      <c r="G162" s="381">
        <v>957</v>
      </c>
      <c r="H162" s="177">
        <f t="shared" si="2"/>
        <v>-957</v>
      </c>
      <c r="I162" s="378" t="s">
        <v>643</v>
      </c>
      <c r="J162" s="377">
        <v>42102</v>
      </c>
    </row>
    <row r="163" spans="1:10" x14ac:dyDescent="0.25">
      <c r="A163" s="384" t="s">
        <v>7</v>
      </c>
      <c r="B163" s="378" t="s">
        <v>19</v>
      </c>
      <c r="C163" s="378" t="s">
        <v>656</v>
      </c>
      <c r="D163" s="385" t="str">
        <f ca="1">IFERROR(OFFSET(Camp_List[P_Code],MATCH(Data_Demography_t[[#This Row],[Camp]],Camp_List[Camp Name],0)-1,0,1,1),"")</f>
        <v>MMR012CMP116</v>
      </c>
      <c r="E163" s="382" t="s">
        <v>679</v>
      </c>
      <c r="F163" s="447" t="s">
        <v>753</v>
      </c>
      <c r="G163" s="381">
        <v>835</v>
      </c>
      <c r="H163" s="177">
        <f t="shared" si="2"/>
        <v>835</v>
      </c>
      <c r="I163" s="378" t="s">
        <v>643</v>
      </c>
      <c r="J163" s="377">
        <v>42102</v>
      </c>
    </row>
    <row r="164" spans="1:10" x14ac:dyDescent="0.25">
      <c r="A164" s="384" t="s">
        <v>7</v>
      </c>
      <c r="B164" s="378" t="s">
        <v>19</v>
      </c>
      <c r="C164" s="378" t="s">
        <v>656</v>
      </c>
      <c r="D164" s="385" t="str">
        <f ca="1">IFERROR(OFFSET(Camp_List[P_Code],MATCH(Data_Demography_t[[#This Row],[Camp]],Camp_List[Camp Name],0)-1,0,1,1),"")</f>
        <v>MMR012CMP116</v>
      </c>
      <c r="E164" s="386" t="s">
        <v>930</v>
      </c>
      <c r="F164" s="385" t="s">
        <v>752</v>
      </c>
      <c r="G164" s="381">
        <v>799</v>
      </c>
      <c r="H164" s="177">
        <f t="shared" si="2"/>
        <v>-799</v>
      </c>
      <c r="I164" s="378" t="s">
        <v>643</v>
      </c>
      <c r="J164" s="377">
        <v>42102</v>
      </c>
    </row>
    <row r="165" spans="1:10" x14ac:dyDescent="0.25">
      <c r="A165" s="384" t="s">
        <v>7</v>
      </c>
      <c r="B165" s="378" t="s">
        <v>19</v>
      </c>
      <c r="C165" s="378" t="s">
        <v>656</v>
      </c>
      <c r="D165" s="385" t="str">
        <f ca="1">IFERROR(OFFSET(Camp_List[P_Code],MATCH(Data_Demography_t[[#This Row],[Camp]],Camp_List[Camp Name],0)-1,0,1,1),"")</f>
        <v>MMR012CMP116</v>
      </c>
      <c r="E165" s="395" t="s">
        <v>930</v>
      </c>
      <c r="F165" s="448" t="s">
        <v>753</v>
      </c>
      <c r="G165" s="381">
        <v>1214</v>
      </c>
      <c r="H165" s="177">
        <f t="shared" si="2"/>
        <v>1214</v>
      </c>
      <c r="I165" s="378" t="s">
        <v>643</v>
      </c>
      <c r="J165" s="377">
        <v>42102</v>
      </c>
    </row>
    <row r="166" spans="1:10" x14ac:dyDescent="0.25">
      <c r="A166" s="445" t="s">
        <v>7</v>
      </c>
      <c r="B166" s="446" t="s">
        <v>19</v>
      </c>
      <c r="C166" s="449" t="s">
        <v>656</v>
      </c>
      <c r="D166" s="449" t="str">
        <f ca="1">IFERROR(OFFSET(Camp_List[P_Code],MATCH(Data_Demography_t[[#This Row],[Camp]],Camp_List[Camp Name],0)-1,0,1,1),"")</f>
        <v>MMR012CMP116</v>
      </c>
      <c r="E166" s="450" t="s">
        <v>931</v>
      </c>
      <c r="F166" s="451" t="s">
        <v>752</v>
      </c>
      <c r="G166" s="402">
        <v>1331</v>
      </c>
      <c r="H166" s="177">
        <f t="shared" si="2"/>
        <v>-1331</v>
      </c>
      <c r="I166" s="449" t="s">
        <v>643</v>
      </c>
      <c r="J166" s="383">
        <v>42102</v>
      </c>
    </row>
    <row r="167" spans="1:10" x14ac:dyDescent="0.25">
      <c r="A167" s="445" t="s">
        <v>7</v>
      </c>
      <c r="B167" s="446" t="s">
        <v>19</v>
      </c>
      <c r="C167" s="449" t="s">
        <v>656</v>
      </c>
      <c r="D167" s="449" t="str">
        <f ca="1">IFERROR(OFFSET(Camp_List[P_Code],MATCH(Data_Demography_t[[#This Row],[Camp]],Camp_List[Camp Name],0)-1,0,1,1),"")</f>
        <v>MMR012CMP116</v>
      </c>
      <c r="E167" s="450" t="s">
        <v>931</v>
      </c>
      <c r="F167" s="476" t="s">
        <v>753</v>
      </c>
      <c r="G167" s="402">
        <v>1353</v>
      </c>
      <c r="H167" s="177">
        <f t="shared" si="2"/>
        <v>1353</v>
      </c>
      <c r="I167" s="449" t="s">
        <v>643</v>
      </c>
      <c r="J167" s="383">
        <v>42102</v>
      </c>
    </row>
    <row r="168" spans="1:10" x14ac:dyDescent="0.25">
      <c r="A168" s="445" t="s">
        <v>7</v>
      </c>
      <c r="B168" s="446" t="s">
        <v>19</v>
      </c>
      <c r="C168" s="449" t="s">
        <v>656</v>
      </c>
      <c r="D168" s="449" t="str">
        <f ca="1">IFERROR(OFFSET(Camp_List[P_Code],MATCH(Data_Demography_t[[#This Row],[Camp]],Camp_List[Camp Name],0)-1,0,1,1),"")</f>
        <v>MMR012CMP116</v>
      </c>
      <c r="E168" s="450" t="s">
        <v>905</v>
      </c>
      <c r="F168" s="451" t="s">
        <v>752</v>
      </c>
      <c r="G168" s="402">
        <v>197</v>
      </c>
      <c r="H168" s="177">
        <f t="shared" si="2"/>
        <v>-197</v>
      </c>
      <c r="I168" s="449" t="s">
        <v>643</v>
      </c>
      <c r="J168" s="383">
        <v>42102</v>
      </c>
    </row>
    <row r="169" spans="1:10" x14ac:dyDescent="0.25">
      <c r="A169" s="445" t="s">
        <v>7</v>
      </c>
      <c r="B169" s="446" t="s">
        <v>19</v>
      </c>
      <c r="C169" s="449" t="s">
        <v>656</v>
      </c>
      <c r="D169" s="449" t="str">
        <f ca="1">IFERROR(OFFSET(Camp_List[P_Code],MATCH(Data_Demography_t[[#This Row],[Camp]],Camp_List[Camp Name],0)-1,0,1,1),"")</f>
        <v>MMR012CMP116</v>
      </c>
      <c r="E169" s="450" t="s">
        <v>905</v>
      </c>
      <c r="F169" s="451" t="s">
        <v>753</v>
      </c>
      <c r="G169" s="402">
        <v>183</v>
      </c>
      <c r="H169" s="177">
        <f t="shared" si="2"/>
        <v>183</v>
      </c>
      <c r="I169" s="449" t="s">
        <v>643</v>
      </c>
      <c r="J169" s="383">
        <v>42102</v>
      </c>
    </row>
    <row r="170" spans="1:10" x14ac:dyDescent="0.25">
      <c r="A170" s="384" t="s">
        <v>7</v>
      </c>
      <c r="B170" s="378" t="s">
        <v>19</v>
      </c>
      <c r="C170" s="385" t="s">
        <v>659</v>
      </c>
      <c r="D170" s="385" t="str">
        <f ca="1">IFERROR(OFFSET(Camp_List[P_Code],MATCH(Data_Demography_t[[#This Row],[Camp]],Camp_List[Camp Name],0)-1,0,1,1),"")</f>
        <v>MMR012CMP111</v>
      </c>
      <c r="E170" s="411" t="s">
        <v>754</v>
      </c>
      <c r="F170" s="409" t="s">
        <v>752</v>
      </c>
      <c r="G170" s="381">
        <v>65</v>
      </c>
      <c r="H170" s="177">
        <f t="shared" si="2"/>
        <v>-65</v>
      </c>
      <c r="I170" s="385" t="s">
        <v>757</v>
      </c>
      <c r="J170" s="383">
        <v>42088</v>
      </c>
    </row>
    <row r="171" spans="1:10" x14ac:dyDescent="0.25">
      <c r="A171" s="384" t="s">
        <v>7</v>
      </c>
      <c r="B171" s="378" t="s">
        <v>19</v>
      </c>
      <c r="C171" s="385" t="s">
        <v>659</v>
      </c>
      <c r="D171" s="385" t="str">
        <f ca="1">IFERROR(OFFSET(Camp_List[P_Code],MATCH(Data_Demography_t[[#This Row],[Camp]],Camp_List[Camp Name],0)-1,0,1,1),"")</f>
        <v>MMR012CMP111</v>
      </c>
      <c r="E171" s="411" t="s">
        <v>754</v>
      </c>
      <c r="F171" s="409" t="s">
        <v>753</v>
      </c>
      <c r="G171" s="381">
        <v>56</v>
      </c>
      <c r="H171" s="177">
        <f t="shared" si="2"/>
        <v>56</v>
      </c>
      <c r="I171" s="385" t="s">
        <v>757</v>
      </c>
      <c r="J171" s="383">
        <v>42088</v>
      </c>
    </row>
    <row r="172" spans="1:10" x14ac:dyDescent="0.25">
      <c r="A172" s="384" t="s">
        <v>7</v>
      </c>
      <c r="B172" s="378" t="s">
        <v>19</v>
      </c>
      <c r="C172" s="385" t="s">
        <v>659</v>
      </c>
      <c r="D172" s="385" t="str">
        <f ca="1">IFERROR(OFFSET(Camp_List[P_Code],MATCH(Data_Demography_t[[#This Row],[Camp]],Camp_List[Camp Name],0)-1,0,1,1),"")</f>
        <v>MMR012CMP111</v>
      </c>
      <c r="E172" s="411" t="s">
        <v>929</v>
      </c>
      <c r="F172" s="409" t="s">
        <v>752</v>
      </c>
      <c r="G172" s="381">
        <v>84</v>
      </c>
      <c r="H172" s="177">
        <f t="shared" si="2"/>
        <v>-84</v>
      </c>
      <c r="I172" s="385" t="s">
        <v>757</v>
      </c>
      <c r="J172" s="383">
        <v>42088</v>
      </c>
    </row>
    <row r="173" spans="1:10" x14ac:dyDescent="0.25">
      <c r="A173" s="384" t="s">
        <v>7</v>
      </c>
      <c r="B173" s="378" t="s">
        <v>19</v>
      </c>
      <c r="C173" s="385" t="s">
        <v>659</v>
      </c>
      <c r="D173" s="385" t="str">
        <f ca="1">IFERROR(OFFSET(Camp_List[P_Code],MATCH(Data_Demography_t[[#This Row],[Camp]],Camp_List[Camp Name],0)-1,0,1,1),"")</f>
        <v>MMR012CMP111</v>
      </c>
      <c r="E173" s="411" t="s">
        <v>929</v>
      </c>
      <c r="F173" s="409" t="s">
        <v>753</v>
      </c>
      <c r="G173" s="381">
        <v>73</v>
      </c>
      <c r="H173" s="177">
        <f t="shared" si="2"/>
        <v>73</v>
      </c>
      <c r="I173" s="385" t="s">
        <v>757</v>
      </c>
      <c r="J173" s="383">
        <v>42088</v>
      </c>
    </row>
    <row r="174" spans="1:10" x14ac:dyDescent="0.25">
      <c r="A174" s="384" t="s">
        <v>7</v>
      </c>
      <c r="B174" s="378" t="s">
        <v>19</v>
      </c>
      <c r="C174" s="385" t="s">
        <v>659</v>
      </c>
      <c r="D174" s="385" t="str">
        <f ca="1">IFERROR(OFFSET(Camp_List[P_Code],MATCH(Data_Demography_t[[#This Row],[Camp]],Camp_List[Camp Name],0)-1,0,1,1),"")</f>
        <v>MMR012CMP111</v>
      </c>
      <c r="E174" s="411" t="s">
        <v>679</v>
      </c>
      <c r="F174" s="409" t="s">
        <v>752</v>
      </c>
      <c r="G174" s="381">
        <v>72</v>
      </c>
      <c r="H174" s="177">
        <f t="shared" si="2"/>
        <v>-72</v>
      </c>
      <c r="I174" s="385" t="s">
        <v>757</v>
      </c>
      <c r="J174" s="383">
        <v>42088</v>
      </c>
    </row>
    <row r="175" spans="1:10" x14ac:dyDescent="0.25">
      <c r="A175" s="384" t="s">
        <v>7</v>
      </c>
      <c r="B175" s="378" t="s">
        <v>19</v>
      </c>
      <c r="C175" s="385" t="s">
        <v>659</v>
      </c>
      <c r="D175" s="385" t="str">
        <f ca="1">IFERROR(OFFSET(Camp_List[P_Code],MATCH(Data_Demography_t[[#This Row],[Camp]],Camp_List[Camp Name],0)-1,0,1,1),"")</f>
        <v>MMR012CMP111</v>
      </c>
      <c r="E175" s="411" t="s">
        <v>679</v>
      </c>
      <c r="F175" s="409" t="s">
        <v>753</v>
      </c>
      <c r="G175" s="381">
        <v>95</v>
      </c>
      <c r="H175" s="177">
        <f t="shared" si="2"/>
        <v>95</v>
      </c>
      <c r="I175" s="385" t="s">
        <v>757</v>
      </c>
      <c r="J175" s="383">
        <v>42088</v>
      </c>
    </row>
    <row r="176" spans="1:10" x14ac:dyDescent="0.25">
      <c r="A176" s="384" t="s">
        <v>7</v>
      </c>
      <c r="B176" s="378" t="s">
        <v>19</v>
      </c>
      <c r="C176" s="385" t="s">
        <v>659</v>
      </c>
      <c r="D176" s="465" t="str">
        <f ca="1">IFERROR(OFFSET(Camp_List[P_Code],MATCH(Data_Demography_t[[#This Row],[Camp]],Camp_List[Camp Name],0)-1,0,1,1),"")</f>
        <v>MMR012CMP111</v>
      </c>
      <c r="E176" s="411" t="s">
        <v>930</v>
      </c>
      <c r="F176" s="409" t="s">
        <v>752</v>
      </c>
      <c r="G176" s="466">
        <v>92</v>
      </c>
      <c r="H176" s="467">
        <f t="shared" si="2"/>
        <v>-92</v>
      </c>
      <c r="I176" s="385" t="s">
        <v>757</v>
      </c>
      <c r="J176" s="383">
        <v>42088</v>
      </c>
    </row>
    <row r="177" spans="1:10" x14ac:dyDescent="0.25">
      <c r="A177" s="384" t="s">
        <v>7</v>
      </c>
      <c r="B177" s="378" t="s">
        <v>19</v>
      </c>
      <c r="C177" s="385" t="s">
        <v>659</v>
      </c>
      <c r="D177" s="465" t="str">
        <f ca="1">IFERROR(OFFSET(Camp_List[P_Code],MATCH(Data_Demography_t[[#This Row],[Camp]],Camp_List[Camp Name],0)-1,0,1,1),"")</f>
        <v>MMR012CMP111</v>
      </c>
      <c r="E177" s="475" t="s">
        <v>930</v>
      </c>
      <c r="F177" s="477" t="s">
        <v>753</v>
      </c>
      <c r="G177" s="466">
        <v>117</v>
      </c>
      <c r="H177" s="467">
        <f t="shared" si="2"/>
        <v>117</v>
      </c>
      <c r="I177" s="385" t="s">
        <v>757</v>
      </c>
      <c r="J177" s="383">
        <v>42088</v>
      </c>
    </row>
    <row r="178" spans="1:10" x14ac:dyDescent="0.25">
      <c r="A178" s="384" t="s">
        <v>7</v>
      </c>
      <c r="B178" s="378" t="s">
        <v>19</v>
      </c>
      <c r="C178" s="385" t="s">
        <v>659</v>
      </c>
      <c r="D178" s="385" t="str">
        <f ca="1">IFERROR(OFFSET(Camp_List[P_Code],MATCH(Data_Demography_t[[#This Row],[Camp]],Camp_List[Camp Name],0)-1,0,1,1),"")</f>
        <v>MMR012CMP111</v>
      </c>
      <c r="E178" s="411" t="s">
        <v>931</v>
      </c>
      <c r="F178" s="409" t="s">
        <v>752</v>
      </c>
      <c r="G178" s="381">
        <v>265</v>
      </c>
      <c r="H178" s="177">
        <f t="shared" si="2"/>
        <v>-265</v>
      </c>
      <c r="I178" s="385" t="s">
        <v>757</v>
      </c>
      <c r="J178" s="383">
        <v>42088</v>
      </c>
    </row>
    <row r="179" spans="1:10" x14ac:dyDescent="0.25">
      <c r="A179" s="384" t="s">
        <v>7</v>
      </c>
      <c r="B179" s="378" t="s">
        <v>19</v>
      </c>
      <c r="C179" s="385" t="s">
        <v>659</v>
      </c>
      <c r="D179" s="385" t="str">
        <f ca="1">IFERROR(OFFSET(Camp_List[P_Code],MATCH(Data_Demography_t[[#This Row],[Camp]],Camp_List[Camp Name],0)-1,0,1,1),"")</f>
        <v>MMR012CMP111</v>
      </c>
      <c r="E179" s="411" t="s">
        <v>931</v>
      </c>
      <c r="F179" s="477" t="s">
        <v>753</v>
      </c>
      <c r="G179" s="381">
        <v>264</v>
      </c>
      <c r="H179" s="177">
        <f t="shared" si="2"/>
        <v>264</v>
      </c>
      <c r="I179" s="385" t="s">
        <v>757</v>
      </c>
      <c r="J179" s="383">
        <v>42088</v>
      </c>
    </row>
    <row r="180" spans="1:10" x14ac:dyDescent="0.25">
      <c r="A180" s="384" t="s">
        <v>7</v>
      </c>
      <c r="B180" s="378" t="s">
        <v>19</v>
      </c>
      <c r="C180" s="378" t="s">
        <v>659</v>
      </c>
      <c r="D180" s="385" t="str">
        <f ca="1">IFERROR(OFFSET(Camp_List[P_Code],MATCH(Data_Demography_t[[#This Row],[Camp]],Camp_List[Camp Name],0)-1,0,1,1),"")</f>
        <v>MMR012CMP111</v>
      </c>
      <c r="E180" s="386" t="s">
        <v>905</v>
      </c>
      <c r="F180" s="385" t="s">
        <v>752</v>
      </c>
      <c r="G180" s="381">
        <v>40</v>
      </c>
      <c r="H180" s="177">
        <f t="shared" si="2"/>
        <v>-40</v>
      </c>
      <c r="I180" s="378" t="s">
        <v>757</v>
      </c>
      <c r="J180" s="377">
        <v>42088</v>
      </c>
    </row>
    <row r="181" spans="1:10" x14ac:dyDescent="0.25">
      <c r="A181" s="384" t="s">
        <v>7</v>
      </c>
      <c r="B181" s="378" t="s">
        <v>19</v>
      </c>
      <c r="C181" s="378" t="s">
        <v>659</v>
      </c>
      <c r="D181" s="385" t="str">
        <f ca="1">IFERROR(OFFSET(Camp_List[P_Code],MATCH(Data_Demography_t[[#This Row],[Camp]],Camp_List[Camp Name],0)-1,0,1,1),"")</f>
        <v>MMR012CMP111</v>
      </c>
      <c r="E181" s="386" t="s">
        <v>905</v>
      </c>
      <c r="F181" s="447" t="s">
        <v>753</v>
      </c>
      <c r="G181" s="381">
        <v>59</v>
      </c>
      <c r="H181" s="177">
        <f t="shared" si="2"/>
        <v>59</v>
      </c>
      <c r="I181" s="378" t="s">
        <v>757</v>
      </c>
      <c r="J181" s="377">
        <v>42088</v>
      </c>
    </row>
    <row r="182" spans="1:10" x14ac:dyDescent="0.25">
      <c r="A182" s="384" t="s">
        <v>7</v>
      </c>
      <c r="B182" s="385" t="s">
        <v>19</v>
      </c>
      <c r="C182" s="385" t="s">
        <v>660</v>
      </c>
      <c r="D182" s="385" t="str">
        <f ca="1">IFERROR(OFFSET(Camp_List[P_Code],MATCH(Data_Demography_t[[#This Row],[Camp]],Camp_List[Camp Name],0)-1,0,1,1),"")</f>
        <v>MMR012CMP112</v>
      </c>
      <c r="E182" s="411" t="s">
        <v>754</v>
      </c>
      <c r="F182" s="409" t="s">
        <v>752</v>
      </c>
      <c r="G182" s="381">
        <v>112</v>
      </c>
      <c r="H182" s="177">
        <f t="shared" si="2"/>
        <v>-112</v>
      </c>
      <c r="I182" s="385" t="s">
        <v>288</v>
      </c>
      <c r="J182" s="383">
        <v>42081</v>
      </c>
    </row>
    <row r="183" spans="1:10" x14ac:dyDescent="0.25">
      <c r="A183" s="384" t="s">
        <v>7</v>
      </c>
      <c r="B183" s="385" t="s">
        <v>19</v>
      </c>
      <c r="C183" s="385" t="s">
        <v>660</v>
      </c>
      <c r="D183" s="385" t="str">
        <f ca="1">IFERROR(OFFSET(Camp_List[P_Code],MATCH(Data_Demography_t[[#This Row],[Camp]],Camp_List[Camp Name],0)-1,0,1,1),"")</f>
        <v>MMR012CMP112</v>
      </c>
      <c r="E183" s="411" t="s">
        <v>754</v>
      </c>
      <c r="F183" s="409" t="s">
        <v>753</v>
      </c>
      <c r="G183" s="381">
        <v>122</v>
      </c>
      <c r="H183" s="177">
        <f t="shared" si="2"/>
        <v>122</v>
      </c>
      <c r="I183" s="385" t="s">
        <v>288</v>
      </c>
      <c r="J183" s="383">
        <v>42081</v>
      </c>
    </row>
    <row r="184" spans="1:10" x14ac:dyDescent="0.25">
      <c r="A184" s="384" t="s">
        <v>7</v>
      </c>
      <c r="B184" s="385" t="s">
        <v>19</v>
      </c>
      <c r="C184" s="385" t="s">
        <v>660</v>
      </c>
      <c r="D184" s="385" t="str">
        <f ca="1">IFERROR(OFFSET(Camp_List[P_Code],MATCH(Data_Demography_t[[#This Row],[Camp]],Camp_List[Camp Name],0)-1,0,1,1),"")</f>
        <v>MMR012CMP112</v>
      </c>
      <c r="E184" s="411" t="s">
        <v>929</v>
      </c>
      <c r="F184" s="409" t="s">
        <v>752</v>
      </c>
      <c r="G184" s="381">
        <v>127</v>
      </c>
      <c r="H184" s="177">
        <f t="shared" si="2"/>
        <v>-127</v>
      </c>
      <c r="I184" s="385" t="s">
        <v>288</v>
      </c>
      <c r="J184" s="383">
        <v>42081</v>
      </c>
    </row>
    <row r="185" spans="1:10" x14ac:dyDescent="0.25">
      <c r="A185" s="384" t="s">
        <v>7</v>
      </c>
      <c r="B185" s="385" t="s">
        <v>19</v>
      </c>
      <c r="C185" s="385" t="s">
        <v>660</v>
      </c>
      <c r="D185" s="385" t="str">
        <f ca="1">IFERROR(OFFSET(Camp_List[P_Code],MATCH(Data_Demography_t[[#This Row],[Camp]],Camp_List[Camp Name],0)-1,0,1,1),"")</f>
        <v>MMR012CMP112</v>
      </c>
      <c r="E185" s="411" t="s">
        <v>929</v>
      </c>
      <c r="F185" s="409" t="s">
        <v>753</v>
      </c>
      <c r="G185" s="381">
        <v>128</v>
      </c>
      <c r="H185" s="177">
        <f t="shared" si="2"/>
        <v>128</v>
      </c>
      <c r="I185" s="385" t="s">
        <v>288</v>
      </c>
      <c r="J185" s="383">
        <v>42081</v>
      </c>
    </row>
    <row r="186" spans="1:10" x14ac:dyDescent="0.25">
      <c r="A186" s="384" t="s">
        <v>7</v>
      </c>
      <c r="B186" s="385" t="s">
        <v>19</v>
      </c>
      <c r="C186" s="385" t="s">
        <v>660</v>
      </c>
      <c r="D186" s="385" t="str">
        <f ca="1">IFERROR(OFFSET(Camp_List[P_Code],MATCH(Data_Demography_t[[#This Row],[Camp]],Camp_List[Camp Name],0)-1,0,1,1),"")</f>
        <v>MMR012CMP112</v>
      </c>
      <c r="E186" s="411" t="s">
        <v>679</v>
      </c>
      <c r="F186" s="409" t="s">
        <v>752</v>
      </c>
      <c r="G186" s="381">
        <v>148</v>
      </c>
      <c r="H186" s="177">
        <f t="shared" si="2"/>
        <v>-148</v>
      </c>
      <c r="I186" s="385" t="s">
        <v>288</v>
      </c>
      <c r="J186" s="383">
        <v>42081</v>
      </c>
    </row>
    <row r="187" spans="1:10" x14ac:dyDescent="0.25">
      <c r="A187" s="384" t="s">
        <v>7</v>
      </c>
      <c r="B187" s="385" t="s">
        <v>19</v>
      </c>
      <c r="C187" s="385" t="s">
        <v>660</v>
      </c>
      <c r="D187" s="385" t="str">
        <f ca="1">IFERROR(OFFSET(Camp_List[P_Code],MATCH(Data_Demography_t[[#This Row],[Camp]],Camp_List[Camp Name],0)-1,0,1,1),"")</f>
        <v>MMR012CMP112</v>
      </c>
      <c r="E187" s="411" t="s">
        <v>679</v>
      </c>
      <c r="F187" s="409" t="s">
        <v>753</v>
      </c>
      <c r="G187" s="381">
        <v>144</v>
      </c>
      <c r="H187" s="177">
        <f t="shared" si="2"/>
        <v>144</v>
      </c>
      <c r="I187" s="385" t="s">
        <v>288</v>
      </c>
      <c r="J187" s="383">
        <v>42081</v>
      </c>
    </row>
    <row r="188" spans="1:10" x14ac:dyDescent="0.25">
      <c r="A188" s="384" t="s">
        <v>7</v>
      </c>
      <c r="B188" s="385" t="s">
        <v>19</v>
      </c>
      <c r="C188" s="385" t="s">
        <v>660</v>
      </c>
      <c r="D188" s="385" t="str">
        <f ca="1">IFERROR(OFFSET(Camp_List[P_Code],MATCH(Data_Demography_t[[#This Row],[Camp]],Camp_List[Camp Name],0)-1,0,1,1),"")</f>
        <v>MMR012CMP112</v>
      </c>
      <c r="E188" s="411" t="s">
        <v>930</v>
      </c>
      <c r="F188" s="409" t="s">
        <v>752</v>
      </c>
      <c r="G188" s="381">
        <v>184</v>
      </c>
      <c r="H188" s="177">
        <f t="shared" si="2"/>
        <v>-184</v>
      </c>
      <c r="I188" s="385" t="s">
        <v>288</v>
      </c>
      <c r="J188" s="383">
        <v>42081</v>
      </c>
    </row>
    <row r="189" spans="1:10" x14ac:dyDescent="0.25">
      <c r="A189" s="384" t="s">
        <v>7</v>
      </c>
      <c r="B189" s="385" t="s">
        <v>19</v>
      </c>
      <c r="C189" s="385" t="s">
        <v>660</v>
      </c>
      <c r="D189" s="385" t="str">
        <f ca="1">IFERROR(OFFSET(Camp_List[P_Code],MATCH(Data_Demography_t[[#This Row],[Camp]],Camp_List[Camp Name],0)-1,0,1,1),"")</f>
        <v>MMR012CMP112</v>
      </c>
      <c r="E189" s="411" t="s">
        <v>930</v>
      </c>
      <c r="F189" s="409" t="s">
        <v>753</v>
      </c>
      <c r="G189" s="381">
        <v>199</v>
      </c>
      <c r="H189" s="177">
        <f t="shared" si="2"/>
        <v>199</v>
      </c>
      <c r="I189" s="385" t="s">
        <v>288</v>
      </c>
      <c r="J189" s="383">
        <v>42081</v>
      </c>
    </row>
    <row r="190" spans="1:10" x14ac:dyDescent="0.25">
      <c r="A190" s="384" t="s">
        <v>7</v>
      </c>
      <c r="B190" s="385" t="s">
        <v>19</v>
      </c>
      <c r="C190" s="385" t="s">
        <v>660</v>
      </c>
      <c r="D190" s="385" t="str">
        <f ca="1">IFERROR(OFFSET(Camp_List[P_Code],MATCH(Data_Demography_t[[#This Row],[Camp]],Camp_List[Camp Name],0)-1,0,1,1),"")</f>
        <v>MMR012CMP112</v>
      </c>
      <c r="E190" s="411" t="s">
        <v>931</v>
      </c>
      <c r="F190" s="409" t="s">
        <v>752</v>
      </c>
      <c r="G190" s="381">
        <v>434</v>
      </c>
      <c r="H190" s="177">
        <f t="shared" si="2"/>
        <v>-434</v>
      </c>
      <c r="I190" s="385" t="s">
        <v>288</v>
      </c>
      <c r="J190" s="383">
        <v>42081</v>
      </c>
    </row>
    <row r="191" spans="1:10" x14ac:dyDescent="0.25">
      <c r="A191" s="388" t="s">
        <v>7</v>
      </c>
      <c r="B191" s="385" t="s">
        <v>19</v>
      </c>
      <c r="C191" s="442" t="s">
        <v>660</v>
      </c>
      <c r="D191" s="385" t="str">
        <f ca="1">IFERROR(OFFSET(Camp_List[P_Code],MATCH(Data_Demography_t[[#This Row],[Camp]],Camp_List[Camp Name],0)-1,0,1,1),"")</f>
        <v>MMR012CMP112</v>
      </c>
      <c r="E191" s="475" t="s">
        <v>931</v>
      </c>
      <c r="F191" s="477" t="s">
        <v>753</v>
      </c>
      <c r="G191" s="389">
        <v>445</v>
      </c>
      <c r="H191" s="177">
        <f t="shared" si="2"/>
        <v>445</v>
      </c>
      <c r="I191" s="442" t="s">
        <v>288</v>
      </c>
      <c r="J191" s="383">
        <v>42081</v>
      </c>
    </row>
    <row r="192" spans="1:10" x14ac:dyDescent="0.25">
      <c r="A192" s="384" t="s">
        <v>7</v>
      </c>
      <c r="B192" s="378" t="s">
        <v>19</v>
      </c>
      <c r="C192" s="385" t="s">
        <v>660</v>
      </c>
      <c r="D192" s="385" t="str">
        <f ca="1">IFERROR(OFFSET(Camp_List[P_Code],MATCH(Data_Demography_t[[#This Row],[Camp]],Camp_List[Camp Name],0)-1,0,1,1),"")</f>
        <v>MMR012CMP112</v>
      </c>
      <c r="E192" s="411" t="s">
        <v>905</v>
      </c>
      <c r="F192" s="409" t="s">
        <v>752</v>
      </c>
      <c r="G192" s="381">
        <v>65</v>
      </c>
      <c r="H192" s="177">
        <f t="shared" si="2"/>
        <v>-65</v>
      </c>
      <c r="I192" s="385" t="s">
        <v>288</v>
      </c>
      <c r="J192" s="383">
        <v>42081</v>
      </c>
    </row>
    <row r="193" spans="1:10" x14ac:dyDescent="0.25">
      <c r="A193" s="384" t="s">
        <v>7</v>
      </c>
      <c r="B193" s="378" t="s">
        <v>19</v>
      </c>
      <c r="C193" s="385" t="s">
        <v>660</v>
      </c>
      <c r="D193" s="385" t="str">
        <f ca="1">IFERROR(OFFSET(Camp_List[P_Code],MATCH(Data_Demography_t[[#This Row],[Camp]],Camp_List[Camp Name],0)-1,0,1,1),"")</f>
        <v>MMR012CMP112</v>
      </c>
      <c r="E193" s="411" t="s">
        <v>905</v>
      </c>
      <c r="F193" s="409" t="s">
        <v>753</v>
      </c>
      <c r="G193" s="381">
        <v>92</v>
      </c>
      <c r="H193" s="177">
        <f t="shared" si="2"/>
        <v>92</v>
      </c>
      <c r="I193" s="385" t="s">
        <v>288</v>
      </c>
      <c r="J193" s="383">
        <v>42081</v>
      </c>
    </row>
    <row r="194" spans="1:10" x14ac:dyDescent="0.25">
      <c r="A194" s="384" t="s">
        <v>7</v>
      </c>
      <c r="B194" s="378" t="s">
        <v>19</v>
      </c>
      <c r="C194" s="385" t="s">
        <v>67</v>
      </c>
      <c r="D194" s="385" t="str">
        <f ca="1">IFERROR(OFFSET(Camp_List[P_Code],MATCH(Data_Demography_t[[#This Row],[Camp]],Camp_List[Camp Name],0)-1,0,1,1),"")</f>
        <v>MMR012CMP045</v>
      </c>
      <c r="E194" s="395" t="s">
        <v>754</v>
      </c>
      <c r="F194" s="385" t="s">
        <v>752</v>
      </c>
      <c r="G194" s="381">
        <v>1277</v>
      </c>
      <c r="H194" s="177">
        <f t="shared" ref="H194:H229" si="3">IF(F194="M",-G194,G194)</f>
        <v>-1277</v>
      </c>
      <c r="I194" s="385" t="s">
        <v>291</v>
      </c>
      <c r="J194" s="383">
        <v>42102</v>
      </c>
    </row>
    <row r="195" spans="1:10" x14ac:dyDescent="0.25">
      <c r="A195" s="384" t="s">
        <v>7</v>
      </c>
      <c r="B195" s="378" t="s">
        <v>19</v>
      </c>
      <c r="C195" s="385" t="s">
        <v>67</v>
      </c>
      <c r="D195" s="385" t="str">
        <f ca="1">IFERROR(OFFSET(Camp_List[P_Code],MATCH(Data_Demography_t[[#This Row],[Camp]],Camp_List[Camp Name],0)-1,0,1,1),"")</f>
        <v>MMR012CMP045</v>
      </c>
      <c r="E195" s="386" t="s">
        <v>754</v>
      </c>
      <c r="F195" s="447" t="s">
        <v>753</v>
      </c>
      <c r="G195" s="381">
        <v>1293</v>
      </c>
      <c r="H195" s="177">
        <f t="shared" si="3"/>
        <v>1293</v>
      </c>
      <c r="I195" s="385" t="s">
        <v>291</v>
      </c>
      <c r="J195" s="383">
        <v>42102</v>
      </c>
    </row>
    <row r="196" spans="1:10" x14ac:dyDescent="0.25">
      <c r="A196" s="384" t="s">
        <v>7</v>
      </c>
      <c r="B196" s="378" t="s">
        <v>19</v>
      </c>
      <c r="C196" s="385" t="s">
        <v>67</v>
      </c>
      <c r="D196" s="385" t="str">
        <f ca="1">IFERROR(OFFSET(Camp_List[P_Code],MATCH(Data_Demography_t[[#This Row],[Camp]],Camp_List[Camp Name],0)-1,0,1,1),"")</f>
        <v>MMR012CMP045</v>
      </c>
      <c r="E196" s="386" t="s">
        <v>929</v>
      </c>
      <c r="F196" s="385" t="s">
        <v>752</v>
      </c>
      <c r="G196" s="381">
        <v>1337</v>
      </c>
      <c r="H196" s="177">
        <f t="shared" si="3"/>
        <v>-1337</v>
      </c>
      <c r="I196" s="385" t="s">
        <v>291</v>
      </c>
      <c r="J196" s="383">
        <v>42102</v>
      </c>
    </row>
    <row r="197" spans="1:10" x14ac:dyDescent="0.25">
      <c r="A197" s="384" t="s">
        <v>7</v>
      </c>
      <c r="B197" s="378" t="s">
        <v>19</v>
      </c>
      <c r="C197" s="385" t="s">
        <v>67</v>
      </c>
      <c r="D197" s="385" t="str">
        <f ca="1">IFERROR(OFFSET(Camp_List[P_Code],MATCH(Data_Demography_t[[#This Row],[Camp]],Camp_List[Camp Name],0)-1,0,1,1),"")</f>
        <v>MMR012CMP045</v>
      </c>
      <c r="E197" s="386" t="s">
        <v>929</v>
      </c>
      <c r="F197" s="447" t="s">
        <v>753</v>
      </c>
      <c r="G197" s="381">
        <v>1219</v>
      </c>
      <c r="H197" s="177">
        <f t="shared" si="3"/>
        <v>1219</v>
      </c>
      <c r="I197" s="385" t="s">
        <v>291</v>
      </c>
      <c r="J197" s="383">
        <v>42102</v>
      </c>
    </row>
    <row r="198" spans="1:10" x14ac:dyDescent="0.25">
      <c r="A198" s="384" t="s">
        <v>7</v>
      </c>
      <c r="B198" s="378" t="s">
        <v>19</v>
      </c>
      <c r="C198" s="385" t="s">
        <v>67</v>
      </c>
      <c r="D198" s="385" t="str">
        <f ca="1">IFERROR(OFFSET(Camp_List[P_Code],MATCH(Data_Demography_t[[#This Row],[Camp]],Camp_List[Camp Name],0)-1,0,1,1),"")</f>
        <v>MMR012CMP045</v>
      </c>
      <c r="E198" s="382" t="s">
        <v>679</v>
      </c>
      <c r="F198" s="385" t="s">
        <v>752</v>
      </c>
      <c r="G198" s="381">
        <v>852</v>
      </c>
      <c r="H198" s="177">
        <f t="shared" si="3"/>
        <v>-852</v>
      </c>
      <c r="I198" s="385" t="s">
        <v>291</v>
      </c>
      <c r="J198" s="383">
        <v>42102</v>
      </c>
    </row>
    <row r="199" spans="1:10" x14ac:dyDescent="0.25">
      <c r="A199" s="384" t="s">
        <v>7</v>
      </c>
      <c r="B199" s="378" t="s">
        <v>19</v>
      </c>
      <c r="C199" s="385" t="s">
        <v>67</v>
      </c>
      <c r="D199" s="385" t="str">
        <f ca="1">IFERROR(OFFSET(Camp_List[P_Code],MATCH(Data_Demography_t[[#This Row],[Camp]],Camp_List[Camp Name],0)-1,0,1,1),"")</f>
        <v>MMR012CMP045</v>
      </c>
      <c r="E199" s="382" t="s">
        <v>679</v>
      </c>
      <c r="F199" s="447" t="s">
        <v>753</v>
      </c>
      <c r="G199" s="381">
        <v>844</v>
      </c>
      <c r="H199" s="177">
        <f t="shared" si="3"/>
        <v>844</v>
      </c>
      <c r="I199" s="385" t="s">
        <v>291</v>
      </c>
      <c r="J199" s="383">
        <v>42102</v>
      </c>
    </row>
    <row r="200" spans="1:10" x14ac:dyDescent="0.25">
      <c r="A200" s="384" t="s">
        <v>7</v>
      </c>
      <c r="B200" s="378" t="s">
        <v>19</v>
      </c>
      <c r="C200" s="385" t="s">
        <v>67</v>
      </c>
      <c r="D200" s="474" t="str">
        <f ca="1">IFERROR(OFFSET(Camp_List[P_Code],MATCH(Data_Demography_t[[#This Row],[Camp]],Camp_List[Camp Name],0)-1,0,1,1),"")</f>
        <v>MMR012CMP045</v>
      </c>
      <c r="E200" s="386" t="s">
        <v>930</v>
      </c>
      <c r="F200" s="385" t="s">
        <v>752</v>
      </c>
      <c r="G200" s="381">
        <v>901</v>
      </c>
      <c r="H200" s="177">
        <f t="shared" si="3"/>
        <v>-901</v>
      </c>
      <c r="I200" s="385" t="s">
        <v>291</v>
      </c>
      <c r="J200" s="383">
        <v>42102</v>
      </c>
    </row>
    <row r="201" spans="1:10" x14ac:dyDescent="0.25">
      <c r="A201" s="700" t="s">
        <v>7</v>
      </c>
      <c r="B201" s="378" t="s">
        <v>19</v>
      </c>
      <c r="C201" s="385" t="s">
        <v>67</v>
      </c>
      <c r="D201" s="474" t="str">
        <f ca="1">IFERROR(OFFSET(Camp_List[P_Code],MATCH(Data_Demography_t[[#This Row],[Camp]],Camp_List[Camp Name],0)-1,0,1,1),"")</f>
        <v>MMR012CMP045</v>
      </c>
      <c r="E201" s="386" t="s">
        <v>930</v>
      </c>
      <c r="F201" s="447" t="s">
        <v>753</v>
      </c>
      <c r="G201" s="381">
        <v>1275</v>
      </c>
      <c r="H201" s="177">
        <f t="shared" si="3"/>
        <v>1275</v>
      </c>
      <c r="I201" s="385" t="s">
        <v>291</v>
      </c>
      <c r="J201" s="383">
        <v>42102</v>
      </c>
    </row>
    <row r="202" spans="1:10" x14ac:dyDescent="0.25">
      <c r="A202" s="388" t="s">
        <v>7</v>
      </c>
      <c r="B202" s="443" t="s">
        <v>19</v>
      </c>
      <c r="C202" s="442" t="s">
        <v>67</v>
      </c>
      <c r="D202" s="442" t="str">
        <f ca="1">IFERROR(OFFSET(Camp_List[P_Code],MATCH(Data_Demography_t[[#This Row],[Camp]],Camp_List[Camp Name],0)-1,0,1,1),"")</f>
        <v>MMR012CMP045</v>
      </c>
      <c r="E202" s="386" t="s">
        <v>931</v>
      </c>
      <c r="F202" s="442" t="s">
        <v>752</v>
      </c>
      <c r="G202" s="389">
        <v>1335</v>
      </c>
      <c r="H202" s="177">
        <f t="shared" si="3"/>
        <v>-1335</v>
      </c>
      <c r="I202" s="472" t="s">
        <v>291</v>
      </c>
      <c r="J202" s="383">
        <v>42102</v>
      </c>
    </row>
    <row r="203" spans="1:10" x14ac:dyDescent="0.25">
      <c r="A203" s="388" t="s">
        <v>7</v>
      </c>
      <c r="B203" s="443" t="s">
        <v>19</v>
      </c>
      <c r="C203" s="442" t="s">
        <v>67</v>
      </c>
      <c r="D203" s="442" t="str">
        <f ca="1">IFERROR(OFFSET(Camp_List[P_Code],MATCH(Data_Demography_t[[#This Row],[Camp]],Camp_List[Camp Name],0)-1,0,1,1),"")</f>
        <v>MMR012CMP045</v>
      </c>
      <c r="E203" s="386" t="s">
        <v>931</v>
      </c>
      <c r="F203" s="448" t="s">
        <v>753</v>
      </c>
      <c r="G203" s="389">
        <v>1475</v>
      </c>
      <c r="H203" s="177">
        <f t="shared" si="3"/>
        <v>1475</v>
      </c>
      <c r="I203" s="472" t="s">
        <v>291</v>
      </c>
      <c r="J203" s="383">
        <v>42102</v>
      </c>
    </row>
    <row r="204" spans="1:10" x14ac:dyDescent="0.25">
      <c r="A204" s="388" t="s">
        <v>7</v>
      </c>
      <c r="B204" s="442" t="s">
        <v>19</v>
      </c>
      <c r="C204" s="442" t="s">
        <v>67</v>
      </c>
      <c r="D204" s="385" t="str">
        <f ca="1">IFERROR(OFFSET(Camp_List[P_Code],MATCH(Data_Demography_t[[#This Row],[Camp]],Camp_List[Camp Name],0)-1,0,1,1),"")</f>
        <v>MMR012CMP045</v>
      </c>
      <c r="E204" s="411" t="s">
        <v>905</v>
      </c>
      <c r="F204" s="409" t="s">
        <v>752</v>
      </c>
      <c r="G204" s="381">
        <v>190</v>
      </c>
      <c r="H204" s="177">
        <f t="shared" si="3"/>
        <v>-190</v>
      </c>
      <c r="I204" s="472" t="s">
        <v>291</v>
      </c>
      <c r="J204" s="383">
        <v>42102</v>
      </c>
    </row>
    <row r="205" spans="1:10" x14ac:dyDescent="0.25">
      <c r="A205" s="388" t="s">
        <v>7</v>
      </c>
      <c r="B205" s="442" t="s">
        <v>19</v>
      </c>
      <c r="C205" s="442" t="s">
        <v>67</v>
      </c>
      <c r="D205" s="442" t="str">
        <f ca="1">IFERROR(OFFSET(Camp_List[P_Code],MATCH(Data_Demography_t[[#This Row],[Camp]],Camp_List[Camp Name],0)-1,0,1,1),"")</f>
        <v>MMR012CMP045</v>
      </c>
      <c r="E205" s="411" t="s">
        <v>905</v>
      </c>
      <c r="F205" s="409" t="s">
        <v>753</v>
      </c>
      <c r="G205" s="381">
        <v>180</v>
      </c>
      <c r="H205" s="177">
        <f t="shared" si="3"/>
        <v>180</v>
      </c>
      <c r="I205" s="472" t="s">
        <v>291</v>
      </c>
      <c r="J205" s="383">
        <v>42102</v>
      </c>
    </row>
    <row r="206" spans="1:10" x14ac:dyDescent="0.25">
      <c r="A206" s="388" t="s">
        <v>7</v>
      </c>
      <c r="B206" s="443" t="s">
        <v>19</v>
      </c>
      <c r="C206" s="442" t="s">
        <v>78</v>
      </c>
      <c r="D206" s="385" t="str">
        <f ca="1">IFERROR(OFFSET(Camp_List[P_Code],MATCH(Data_Demography_t[[#This Row],[Camp]],Camp_List[Camp Name],0)-1,0,1,1),"")</f>
        <v>MMR012CMP056</v>
      </c>
      <c r="E206" s="395" t="s">
        <v>754</v>
      </c>
      <c r="F206" s="442" t="s">
        <v>752</v>
      </c>
      <c r="G206" s="381">
        <v>25</v>
      </c>
      <c r="H206" s="177">
        <f t="shared" si="3"/>
        <v>-25</v>
      </c>
      <c r="I206" s="468" t="s">
        <v>643</v>
      </c>
      <c r="J206" s="377">
        <v>42083</v>
      </c>
    </row>
    <row r="207" spans="1:10" x14ac:dyDescent="0.25">
      <c r="A207" s="388" t="s">
        <v>7</v>
      </c>
      <c r="B207" s="443" t="s">
        <v>19</v>
      </c>
      <c r="C207" s="442" t="s">
        <v>78</v>
      </c>
      <c r="D207" s="385" t="str">
        <f ca="1">IFERROR(OFFSET(Camp_List[P_Code],MATCH(Data_Demography_t[[#This Row],[Camp]],Camp_List[Camp Name],0)-1,0,1,1),"")</f>
        <v>MMR012CMP056</v>
      </c>
      <c r="E207" s="386" t="s">
        <v>754</v>
      </c>
      <c r="F207" s="447" t="s">
        <v>753</v>
      </c>
      <c r="G207" s="381">
        <v>24</v>
      </c>
      <c r="H207" s="177">
        <f t="shared" si="3"/>
        <v>24</v>
      </c>
      <c r="I207" s="468" t="s">
        <v>643</v>
      </c>
      <c r="J207" s="377">
        <v>42083</v>
      </c>
    </row>
    <row r="208" spans="1:10" x14ac:dyDescent="0.25">
      <c r="A208" s="388" t="s">
        <v>7</v>
      </c>
      <c r="B208" s="443" t="s">
        <v>19</v>
      </c>
      <c r="C208" s="442" t="s">
        <v>78</v>
      </c>
      <c r="D208" s="385" t="str">
        <f ca="1">IFERROR(OFFSET(Camp_List[P_Code],MATCH(Data_Demography_t[[#This Row],[Camp]],Camp_List[Camp Name],0)-1,0,1,1),"")</f>
        <v>MMR012CMP056</v>
      </c>
      <c r="E208" s="386" t="s">
        <v>929</v>
      </c>
      <c r="F208" s="385" t="s">
        <v>752</v>
      </c>
      <c r="G208" s="381">
        <v>25</v>
      </c>
      <c r="H208" s="177">
        <f t="shared" si="3"/>
        <v>-25</v>
      </c>
      <c r="I208" s="468" t="s">
        <v>643</v>
      </c>
      <c r="J208" s="377">
        <v>42083</v>
      </c>
    </row>
    <row r="209" spans="1:10" x14ac:dyDescent="0.25">
      <c r="A209" s="388" t="s">
        <v>7</v>
      </c>
      <c r="B209" s="443" t="s">
        <v>19</v>
      </c>
      <c r="C209" s="442" t="s">
        <v>78</v>
      </c>
      <c r="D209" s="385" t="str">
        <f ca="1">IFERROR(OFFSET(Camp_List[P_Code],MATCH(Data_Demography_t[[#This Row],[Camp]],Camp_List[Camp Name],0)-1,0,1,1),"")</f>
        <v>MMR012CMP056</v>
      </c>
      <c r="E209" s="386" t="s">
        <v>929</v>
      </c>
      <c r="F209" s="447" t="s">
        <v>753</v>
      </c>
      <c r="G209" s="381">
        <v>31</v>
      </c>
      <c r="H209" s="177">
        <f t="shared" si="3"/>
        <v>31</v>
      </c>
      <c r="I209" s="468" t="s">
        <v>643</v>
      </c>
      <c r="J209" s="377">
        <v>42083</v>
      </c>
    </row>
    <row r="210" spans="1:10" x14ac:dyDescent="0.25">
      <c r="A210" s="388" t="s">
        <v>7</v>
      </c>
      <c r="B210" s="443" t="s">
        <v>19</v>
      </c>
      <c r="C210" s="442" t="s">
        <v>78</v>
      </c>
      <c r="D210" s="385" t="str">
        <f ca="1">IFERROR(OFFSET(Camp_List[P_Code],MATCH(Data_Demography_t[[#This Row],[Camp]],Camp_List[Camp Name],0)-1,0,1,1),"")</f>
        <v>MMR012CMP056</v>
      </c>
      <c r="E210" s="382" t="s">
        <v>679</v>
      </c>
      <c r="F210" s="385" t="s">
        <v>752</v>
      </c>
      <c r="G210" s="381">
        <v>39</v>
      </c>
      <c r="H210" s="177">
        <f t="shared" si="3"/>
        <v>-39</v>
      </c>
      <c r="I210" s="468" t="s">
        <v>643</v>
      </c>
      <c r="J210" s="377">
        <v>42083</v>
      </c>
    </row>
    <row r="211" spans="1:10" x14ac:dyDescent="0.25">
      <c r="A211" s="388" t="s">
        <v>7</v>
      </c>
      <c r="B211" s="443" t="s">
        <v>19</v>
      </c>
      <c r="C211" s="442" t="s">
        <v>78</v>
      </c>
      <c r="D211" s="385" t="str">
        <f ca="1">IFERROR(OFFSET(Camp_List[P_Code],MATCH(Data_Demography_t[[#This Row],[Camp]],Camp_List[Camp Name],0)-1,0,1,1),"")</f>
        <v>MMR012CMP056</v>
      </c>
      <c r="E211" s="382" t="s">
        <v>679</v>
      </c>
      <c r="F211" s="447" t="s">
        <v>753</v>
      </c>
      <c r="G211" s="381">
        <v>34</v>
      </c>
      <c r="H211" s="177">
        <f t="shared" si="3"/>
        <v>34</v>
      </c>
      <c r="I211" s="468" t="s">
        <v>643</v>
      </c>
      <c r="J211" s="377">
        <v>42083</v>
      </c>
    </row>
    <row r="212" spans="1:10" x14ac:dyDescent="0.25">
      <c r="A212" s="388" t="s">
        <v>7</v>
      </c>
      <c r="B212" s="443" t="s">
        <v>19</v>
      </c>
      <c r="C212" s="442" t="s">
        <v>78</v>
      </c>
      <c r="D212" s="385" t="str">
        <f ca="1">IFERROR(OFFSET(Camp_List[P_Code],MATCH(Data_Demography_t[[#This Row],[Camp]],Camp_List[Camp Name],0)-1,0,1,1),"")</f>
        <v>MMR012CMP056</v>
      </c>
      <c r="E212" s="386" t="s">
        <v>930</v>
      </c>
      <c r="F212" s="385" t="s">
        <v>752</v>
      </c>
      <c r="G212" s="381">
        <v>50</v>
      </c>
      <c r="H212" s="177">
        <f t="shared" si="3"/>
        <v>-50</v>
      </c>
      <c r="I212" s="468" t="s">
        <v>643</v>
      </c>
      <c r="J212" s="377">
        <v>42083</v>
      </c>
    </row>
    <row r="213" spans="1:10" x14ac:dyDescent="0.25">
      <c r="A213" s="388" t="s">
        <v>7</v>
      </c>
      <c r="B213" s="443" t="s">
        <v>19</v>
      </c>
      <c r="C213" s="442" t="s">
        <v>78</v>
      </c>
      <c r="D213" s="442" t="str">
        <f ca="1">IFERROR(OFFSET(Camp_List[P_Code],MATCH(Data_Demography_t[[#This Row],[Camp]],Camp_List[Camp Name],0)-1,0,1,1),"")</f>
        <v>MMR012CMP056</v>
      </c>
      <c r="E213" s="386" t="s">
        <v>930</v>
      </c>
      <c r="F213" s="447" t="s">
        <v>753</v>
      </c>
      <c r="G213" s="381">
        <v>53</v>
      </c>
      <c r="H213" s="177">
        <f t="shared" si="3"/>
        <v>53</v>
      </c>
      <c r="I213" s="468" t="s">
        <v>643</v>
      </c>
      <c r="J213" s="377">
        <v>42083</v>
      </c>
    </row>
    <row r="214" spans="1:10" x14ac:dyDescent="0.25">
      <c r="A214" s="388" t="s">
        <v>7</v>
      </c>
      <c r="B214" s="443" t="s">
        <v>19</v>
      </c>
      <c r="C214" s="442" t="s">
        <v>78</v>
      </c>
      <c r="D214" s="442" t="str">
        <f ca="1">IFERROR(OFFSET(Camp_List[P_Code],MATCH(Data_Demography_t[[#This Row],[Camp]],Camp_List[Camp Name],0)-1,0,1,1),"")</f>
        <v>MMR012CMP056</v>
      </c>
      <c r="E214" s="386" t="s">
        <v>931</v>
      </c>
      <c r="F214" s="385" t="s">
        <v>752</v>
      </c>
      <c r="G214" s="381">
        <v>79</v>
      </c>
      <c r="H214" s="177">
        <f t="shared" si="3"/>
        <v>-79</v>
      </c>
      <c r="I214" s="468" t="s">
        <v>643</v>
      </c>
      <c r="J214" s="377">
        <v>42083</v>
      </c>
    </row>
    <row r="215" spans="1:10" x14ac:dyDescent="0.25">
      <c r="A215" s="388" t="s">
        <v>7</v>
      </c>
      <c r="B215" s="443" t="s">
        <v>19</v>
      </c>
      <c r="C215" s="442" t="s">
        <v>78</v>
      </c>
      <c r="D215" s="385" t="str">
        <f ca="1">IFERROR(OFFSET(Camp_List[P_Code],MATCH(Data_Demography_t[[#This Row],[Camp]],Camp_List[Camp Name],0)-1,0,1,1),"")</f>
        <v>MMR012CMP056</v>
      </c>
      <c r="E215" s="386" t="s">
        <v>931</v>
      </c>
      <c r="F215" s="447" t="s">
        <v>753</v>
      </c>
      <c r="G215" s="381">
        <v>80</v>
      </c>
      <c r="H215" s="177">
        <f t="shared" si="3"/>
        <v>80</v>
      </c>
      <c r="I215" s="468" t="s">
        <v>643</v>
      </c>
      <c r="J215" s="377">
        <v>42083</v>
      </c>
    </row>
    <row r="216" spans="1:10" x14ac:dyDescent="0.25">
      <c r="A216" s="388" t="s">
        <v>7</v>
      </c>
      <c r="B216" s="443" t="s">
        <v>19</v>
      </c>
      <c r="C216" s="442" t="s">
        <v>78</v>
      </c>
      <c r="D216" s="442" t="str">
        <f ca="1">IFERROR(OFFSET(Camp_List[P_Code],MATCH(Data_Demography_t[[#This Row],[Camp]],Camp_List[Camp Name],0)-1,0,1,1),"")</f>
        <v>MMR012CMP056</v>
      </c>
      <c r="E216" s="386" t="s">
        <v>905</v>
      </c>
      <c r="F216" s="385" t="s">
        <v>752</v>
      </c>
      <c r="G216" s="381">
        <v>9</v>
      </c>
      <c r="H216" s="177">
        <f t="shared" si="3"/>
        <v>-9</v>
      </c>
      <c r="I216" s="472" t="s">
        <v>643</v>
      </c>
      <c r="J216" s="383">
        <v>42083</v>
      </c>
    </row>
    <row r="217" spans="1:10" x14ac:dyDescent="0.25">
      <c r="A217" s="388" t="s">
        <v>7</v>
      </c>
      <c r="B217" s="443" t="s">
        <v>19</v>
      </c>
      <c r="C217" s="442" t="s">
        <v>78</v>
      </c>
      <c r="D217" s="442" t="str">
        <f ca="1">IFERROR(OFFSET(Camp_List[P_Code],MATCH(Data_Demography_t[[#This Row],[Camp]],Camp_List[Camp Name],0)-1,0,1,1),"")</f>
        <v>MMR012CMP056</v>
      </c>
      <c r="E217" s="386" t="s">
        <v>905</v>
      </c>
      <c r="F217" s="447" t="s">
        <v>753</v>
      </c>
      <c r="G217" s="381">
        <v>13</v>
      </c>
      <c r="H217" s="177">
        <f t="shared" si="3"/>
        <v>13</v>
      </c>
      <c r="I217" s="472" t="s">
        <v>643</v>
      </c>
      <c r="J217" s="383">
        <v>42083</v>
      </c>
    </row>
    <row r="218" spans="1:10" x14ac:dyDescent="0.25">
      <c r="A218" s="388" t="s">
        <v>7</v>
      </c>
      <c r="B218" s="443" t="s">
        <v>19</v>
      </c>
      <c r="C218" s="442" t="s">
        <v>248</v>
      </c>
      <c r="D218" s="442" t="str">
        <f ca="1">IFERROR(OFFSET(Camp_List[P_Code],MATCH(Data_Demography_t[[#This Row],[Camp]],Camp_List[Camp Name],0)-1,0,1,1),"")</f>
        <v>MMR012CMP093</v>
      </c>
      <c r="E218" s="395" t="s">
        <v>754</v>
      </c>
      <c r="F218" s="442" t="s">
        <v>752</v>
      </c>
      <c r="G218" s="381">
        <v>50</v>
      </c>
      <c r="H218" s="177">
        <f t="shared" si="3"/>
        <v>-50</v>
      </c>
      <c r="I218" s="472" t="s">
        <v>643</v>
      </c>
      <c r="J218" s="377">
        <v>42083</v>
      </c>
    </row>
    <row r="219" spans="1:10" x14ac:dyDescent="0.25">
      <c r="A219" s="388" t="s">
        <v>7</v>
      </c>
      <c r="B219" s="443" t="s">
        <v>19</v>
      </c>
      <c r="C219" s="442" t="s">
        <v>248</v>
      </c>
      <c r="D219" s="442" t="str">
        <f ca="1">IFERROR(OFFSET(Camp_List[P_Code],MATCH(Data_Demography_t[[#This Row],[Camp]],Camp_List[Camp Name],0)-1,0,1,1),"")</f>
        <v>MMR012CMP093</v>
      </c>
      <c r="E219" s="386" t="s">
        <v>754</v>
      </c>
      <c r="F219" s="447" t="s">
        <v>753</v>
      </c>
      <c r="G219" s="381">
        <v>63</v>
      </c>
      <c r="H219" s="177">
        <f t="shared" si="3"/>
        <v>63</v>
      </c>
      <c r="I219" s="472" t="s">
        <v>643</v>
      </c>
      <c r="J219" s="377">
        <v>42083</v>
      </c>
    </row>
    <row r="220" spans="1:10" x14ac:dyDescent="0.25">
      <c r="A220" s="388" t="s">
        <v>7</v>
      </c>
      <c r="B220" s="443" t="s">
        <v>19</v>
      </c>
      <c r="C220" s="442" t="s">
        <v>248</v>
      </c>
      <c r="D220" s="442" t="str">
        <f ca="1">IFERROR(OFFSET(Camp_List[P_Code],MATCH(Data_Demography_t[[#This Row],[Camp]],Camp_List[Camp Name],0)-1,0,1,1),"")</f>
        <v>MMR012CMP093</v>
      </c>
      <c r="E220" s="386" t="s">
        <v>929</v>
      </c>
      <c r="F220" s="385" t="s">
        <v>752</v>
      </c>
      <c r="G220" s="381">
        <v>41</v>
      </c>
      <c r="H220" s="177">
        <f t="shared" si="3"/>
        <v>-41</v>
      </c>
      <c r="I220" s="472" t="s">
        <v>643</v>
      </c>
      <c r="J220" s="377">
        <v>42083</v>
      </c>
    </row>
    <row r="221" spans="1:10" x14ac:dyDescent="0.25">
      <c r="A221" s="388" t="s">
        <v>7</v>
      </c>
      <c r="B221" s="443" t="s">
        <v>19</v>
      </c>
      <c r="C221" s="442" t="s">
        <v>248</v>
      </c>
      <c r="D221" s="442" t="str">
        <f ca="1">IFERROR(OFFSET(Camp_List[P_Code],MATCH(Data_Demography_t[[#This Row],[Camp]],Camp_List[Camp Name],0)-1,0,1,1),"")</f>
        <v>MMR012CMP093</v>
      </c>
      <c r="E221" s="386" t="s">
        <v>929</v>
      </c>
      <c r="F221" s="447" t="s">
        <v>753</v>
      </c>
      <c r="G221" s="381">
        <v>44</v>
      </c>
      <c r="H221" s="177">
        <f t="shared" si="3"/>
        <v>44</v>
      </c>
      <c r="I221" s="472" t="s">
        <v>643</v>
      </c>
      <c r="J221" s="377">
        <v>42083</v>
      </c>
    </row>
    <row r="222" spans="1:10" x14ac:dyDescent="0.25">
      <c r="A222" s="388" t="s">
        <v>7</v>
      </c>
      <c r="B222" s="443" t="s">
        <v>19</v>
      </c>
      <c r="C222" s="442" t="s">
        <v>248</v>
      </c>
      <c r="D222" s="442" t="str">
        <f ca="1">IFERROR(OFFSET(Camp_List[P_Code],MATCH(Data_Demography_t[[#This Row],[Camp]],Camp_List[Camp Name],0)-1,0,1,1),"")</f>
        <v>MMR012CMP093</v>
      </c>
      <c r="E222" s="382" t="s">
        <v>679</v>
      </c>
      <c r="F222" s="385" t="s">
        <v>752</v>
      </c>
      <c r="G222" s="381">
        <v>40</v>
      </c>
      <c r="H222" s="177">
        <f t="shared" si="3"/>
        <v>-40</v>
      </c>
      <c r="I222" s="472" t="s">
        <v>643</v>
      </c>
      <c r="J222" s="377">
        <v>42083</v>
      </c>
    </row>
    <row r="223" spans="1:10" x14ac:dyDescent="0.25">
      <c r="A223" s="388" t="s">
        <v>7</v>
      </c>
      <c r="B223" s="443" t="s">
        <v>19</v>
      </c>
      <c r="C223" s="442" t="s">
        <v>248</v>
      </c>
      <c r="D223" s="442" t="str">
        <f ca="1">IFERROR(OFFSET(Camp_List[P_Code],MATCH(Data_Demography_t[[#This Row],[Camp]],Camp_List[Camp Name],0)-1,0,1,1),"")</f>
        <v>MMR012CMP093</v>
      </c>
      <c r="E223" s="382" t="s">
        <v>679</v>
      </c>
      <c r="F223" s="447" t="s">
        <v>753</v>
      </c>
      <c r="G223" s="381">
        <v>36</v>
      </c>
      <c r="H223" s="177">
        <f t="shared" si="3"/>
        <v>36</v>
      </c>
      <c r="I223" s="472" t="s">
        <v>643</v>
      </c>
      <c r="J223" s="377">
        <v>42083</v>
      </c>
    </row>
    <row r="224" spans="1:10" x14ac:dyDescent="0.25">
      <c r="A224" s="388" t="s">
        <v>7</v>
      </c>
      <c r="B224" s="443" t="s">
        <v>19</v>
      </c>
      <c r="C224" s="442" t="s">
        <v>248</v>
      </c>
      <c r="D224" s="442" t="str">
        <f ca="1">IFERROR(OFFSET(Camp_List[P_Code],MATCH(Data_Demography_t[[#This Row],[Camp]],Camp_List[Camp Name],0)-1,0,1,1),"")</f>
        <v>MMR012CMP093</v>
      </c>
      <c r="E224" s="386" t="s">
        <v>930</v>
      </c>
      <c r="F224" s="385" t="s">
        <v>752</v>
      </c>
      <c r="G224" s="381">
        <v>40</v>
      </c>
      <c r="H224" s="177">
        <f t="shared" si="3"/>
        <v>-40</v>
      </c>
      <c r="I224" s="472" t="s">
        <v>643</v>
      </c>
      <c r="J224" s="377">
        <v>42083</v>
      </c>
    </row>
    <row r="225" spans="1:10" x14ac:dyDescent="0.25">
      <c r="A225" s="384" t="s">
        <v>7</v>
      </c>
      <c r="B225" s="378" t="s">
        <v>19</v>
      </c>
      <c r="C225" s="385" t="s">
        <v>248</v>
      </c>
      <c r="D225" s="385" t="str">
        <f ca="1">IFERROR(OFFSET(Camp_List[P_Code],MATCH(Data_Demography_t[[#This Row],[Camp]],Camp_List[Camp Name],0)-1,0,1,1),"")</f>
        <v>MMR012CMP093</v>
      </c>
      <c r="E225" s="386" t="s">
        <v>930</v>
      </c>
      <c r="F225" s="447" t="s">
        <v>753</v>
      </c>
      <c r="G225" s="381">
        <v>51</v>
      </c>
      <c r="H225" s="177">
        <f t="shared" si="3"/>
        <v>51</v>
      </c>
      <c r="I225" s="468" t="s">
        <v>643</v>
      </c>
      <c r="J225" s="377">
        <v>42083</v>
      </c>
    </row>
    <row r="226" spans="1:10" x14ac:dyDescent="0.25">
      <c r="A226" s="384" t="s">
        <v>7</v>
      </c>
      <c r="B226" s="378" t="s">
        <v>19</v>
      </c>
      <c r="C226" s="385" t="s">
        <v>248</v>
      </c>
      <c r="D226" s="465" t="str">
        <f ca="1">IFERROR(OFFSET(Camp_List[P_Code],MATCH(Data_Demography_t[[#This Row],[Camp]],Camp_List[Camp Name],0)-1,0,1,1),"")</f>
        <v>MMR012CMP093</v>
      </c>
      <c r="E226" s="386" t="s">
        <v>931</v>
      </c>
      <c r="F226" s="385" t="s">
        <v>752</v>
      </c>
      <c r="G226" s="466">
        <v>121</v>
      </c>
      <c r="H226" s="467">
        <f t="shared" si="3"/>
        <v>-121</v>
      </c>
      <c r="I226" s="468" t="s">
        <v>643</v>
      </c>
      <c r="J226" s="377">
        <v>42083</v>
      </c>
    </row>
    <row r="227" spans="1:10" x14ac:dyDescent="0.25">
      <c r="A227" s="384" t="s">
        <v>7</v>
      </c>
      <c r="B227" s="378" t="s">
        <v>19</v>
      </c>
      <c r="C227" s="385" t="s">
        <v>248</v>
      </c>
      <c r="D227" s="465" t="str">
        <f ca="1">IFERROR(OFFSET(Camp_List[P_Code],MATCH(Data_Demography_t[[#This Row],[Camp]],Camp_List[Camp Name],0)-1,0,1,1),"")</f>
        <v>MMR012CMP093</v>
      </c>
      <c r="E227" s="386" t="s">
        <v>931</v>
      </c>
      <c r="F227" s="447" t="s">
        <v>753</v>
      </c>
      <c r="G227" s="466">
        <v>124</v>
      </c>
      <c r="H227" s="467">
        <f t="shared" si="3"/>
        <v>124</v>
      </c>
      <c r="I227" s="468" t="s">
        <v>643</v>
      </c>
      <c r="J227" s="377">
        <v>42083</v>
      </c>
    </row>
    <row r="228" spans="1:10" x14ac:dyDescent="0.25">
      <c r="A228" s="384" t="s">
        <v>7</v>
      </c>
      <c r="B228" s="378" t="s">
        <v>19</v>
      </c>
      <c r="C228" s="385" t="s">
        <v>248</v>
      </c>
      <c r="D228" s="385" t="str">
        <f ca="1">IFERROR(OFFSET(Camp_List[P_Code],MATCH(Data_Demography_t[[#This Row],[Camp]],Camp_List[Camp Name],0)-1,0,1,1),"")</f>
        <v>MMR012CMP093</v>
      </c>
      <c r="E228" s="386" t="s">
        <v>905</v>
      </c>
      <c r="F228" s="385" t="s">
        <v>752</v>
      </c>
      <c r="G228" s="381">
        <v>7</v>
      </c>
      <c r="H228" s="177">
        <f t="shared" si="3"/>
        <v>-7</v>
      </c>
      <c r="I228" s="468" t="s">
        <v>643</v>
      </c>
      <c r="J228" s="377">
        <v>42083</v>
      </c>
    </row>
    <row r="229" spans="1:10" x14ac:dyDescent="0.25">
      <c r="A229" s="384" t="s">
        <v>7</v>
      </c>
      <c r="B229" s="378" t="s">
        <v>19</v>
      </c>
      <c r="C229" s="385" t="s">
        <v>248</v>
      </c>
      <c r="D229" s="385" t="str">
        <f ca="1">IFERROR(OFFSET(Camp_List[P_Code],MATCH(Data_Demography_t[[#This Row],[Camp]],Camp_List[Camp Name],0)-1,0,1,1),"")</f>
        <v>MMR012CMP093</v>
      </c>
      <c r="E229" s="386" t="s">
        <v>905</v>
      </c>
      <c r="F229" s="447" t="s">
        <v>753</v>
      </c>
      <c r="G229" s="381">
        <v>23</v>
      </c>
      <c r="H229" s="177">
        <f t="shared" si="3"/>
        <v>23</v>
      </c>
      <c r="I229" s="468" t="s">
        <v>643</v>
      </c>
      <c r="J229" s="377">
        <v>42083</v>
      </c>
    </row>
    <row r="230" spans="1:10" x14ac:dyDescent="0.25">
      <c r="A230" s="384" t="s">
        <v>7</v>
      </c>
      <c r="B230" s="378" t="s">
        <v>14</v>
      </c>
      <c r="C230" s="385" t="s">
        <v>43</v>
      </c>
      <c r="D230" s="474" t="str">
        <f ca="1">IFERROR(OFFSET(Camp_List[P_Code],MATCH(Data_Demography_t[[#This Row],[Camp]],Camp_List[Camp Name],0)-1,0,1,1),"")</f>
        <v>MMR012CMP019</v>
      </c>
      <c r="E230" s="386" t="s">
        <v>754</v>
      </c>
      <c r="F230" s="385" t="s">
        <v>752</v>
      </c>
      <c r="G230" s="381">
        <v>231</v>
      </c>
      <c r="H230" s="177">
        <f t="shared" ref="H230:H231" si="4">IF(F230="M",-G230,G230)</f>
        <v>-231</v>
      </c>
      <c r="I230" s="468" t="s">
        <v>757</v>
      </c>
      <c r="J230" s="377">
        <v>42212</v>
      </c>
    </row>
    <row r="231" spans="1:10" x14ac:dyDescent="0.25">
      <c r="A231" s="384" t="s">
        <v>7</v>
      </c>
      <c r="B231" s="378" t="s">
        <v>14</v>
      </c>
      <c r="C231" s="385" t="s">
        <v>43</v>
      </c>
      <c r="D231" s="474" t="str">
        <f ca="1">IFERROR(OFFSET(Camp_List[P_Code],MATCH(Data_Demography_t[[#This Row],[Camp]],Camp_List[Camp Name],0)-1,0,1,1),"")</f>
        <v>MMR012CMP019</v>
      </c>
      <c r="E231" s="386" t="s">
        <v>754</v>
      </c>
      <c r="F231" s="447" t="s">
        <v>753</v>
      </c>
      <c r="G231" s="381">
        <v>196</v>
      </c>
      <c r="H231" s="177">
        <f t="shared" si="4"/>
        <v>196</v>
      </c>
      <c r="I231" s="468" t="s">
        <v>757</v>
      </c>
      <c r="J231" s="377">
        <v>42212</v>
      </c>
    </row>
    <row r="232" spans="1:10" x14ac:dyDescent="0.25">
      <c r="A232" s="384" t="s">
        <v>7</v>
      </c>
      <c r="B232" s="378" t="s">
        <v>14</v>
      </c>
      <c r="C232" s="385" t="s">
        <v>43</v>
      </c>
      <c r="D232" s="385" t="str">
        <f ca="1">IFERROR(OFFSET(Camp_List[P_Code],MATCH(Data_Demography_t[[#This Row],[Camp]],Camp_List[Camp Name],0)-1,0,1,1),"")</f>
        <v>MMR012CMP019</v>
      </c>
      <c r="E232" s="386" t="s">
        <v>929</v>
      </c>
      <c r="F232" s="385" t="s">
        <v>752</v>
      </c>
      <c r="G232" s="381">
        <v>218</v>
      </c>
      <c r="H232" s="177">
        <f t="shared" ref="H232:H277" si="5">IF(F232="M",-G232,G232)</f>
        <v>-218</v>
      </c>
      <c r="I232" s="468" t="s">
        <v>757</v>
      </c>
      <c r="J232" s="377">
        <v>42212</v>
      </c>
    </row>
    <row r="233" spans="1:10" x14ac:dyDescent="0.25">
      <c r="A233" s="384" t="s">
        <v>7</v>
      </c>
      <c r="B233" s="378" t="s">
        <v>14</v>
      </c>
      <c r="C233" s="385" t="s">
        <v>43</v>
      </c>
      <c r="D233" s="385" t="str">
        <f ca="1">IFERROR(OFFSET(Camp_List[P_Code],MATCH(Data_Demography_t[[#This Row],[Camp]],Camp_List[Camp Name],0)-1,0,1,1),"")</f>
        <v>MMR012CMP019</v>
      </c>
      <c r="E233" s="386" t="s">
        <v>929</v>
      </c>
      <c r="F233" s="447" t="s">
        <v>753</v>
      </c>
      <c r="G233" s="381">
        <v>204</v>
      </c>
      <c r="H233" s="177">
        <f t="shared" si="5"/>
        <v>204</v>
      </c>
      <c r="I233" s="468" t="s">
        <v>757</v>
      </c>
      <c r="J233" s="377">
        <v>42212</v>
      </c>
    </row>
    <row r="234" spans="1:10" x14ac:dyDescent="0.25">
      <c r="A234" s="384" t="s">
        <v>7</v>
      </c>
      <c r="B234" s="378" t="s">
        <v>14</v>
      </c>
      <c r="C234" s="385" t="s">
        <v>43</v>
      </c>
      <c r="D234" s="385" t="str">
        <f ca="1">IFERROR(OFFSET(Camp_List[P_Code],MATCH(Data_Demography_t[[#This Row],[Camp]],Camp_List[Camp Name],0)-1,0,1,1),"")</f>
        <v>MMR012CMP019</v>
      </c>
      <c r="E234" s="382" t="s">
        <v>679</v>
      </c>
      <c r="F234" s="385" t="s">
        <v>752</v>
      </c>
      <c r="G234" s="381">
        <v>199</v>
      </c>
      <c r="H234" s="177">
        <f t="shared" si="5"/>
        <v>-199</v>
      </c>
      <c r="I234" s="468" t="s">
        <v>757</v>
      </c>
      <c r="J234" s="377">
        <v>42212</v>
      </c>
    </row>
    <row r="235" spans="1:10" x14ac:dyDescent="0.25">
      <c r="A235" s="384" t="s">
        <v>7</v>
      </c>
      <c r="B235" s="378" t="s">
        <v>14</v>
      </c>
      <c r="C235" s="385" t="s">
        <v>43</v>
      </c>
      <c r="D235" s="385" t="str">
        <f ca="1">IFERROR(OFFSET(Camp_List[P_Code],MATCH(Data_Demography_t[[#This Row],[Camp]],Camp_List[Camp Name],0)-1,0,1,1),"")</f>
        <v>MMR012CMP019</v>
      </c>
      <c r="E235" s="382" t="s">
        <v>679</v>
      </c>
      <c r="F235" s="447" t="s">
        <v>753</v>
      </c>
      <c r="G235" s="381">
        <v>179</v>
      </c>
      <c r="H235" s="177">
        <f t="shared" si="5"/>
        <v>179</v>
      </c>
      <c r="I235" s="468" t="s">
        <v>757</v>
      </c>
      <c r="J235" s="377">
        <v>42212</v>
      </c>
    </row>
    <row r="236" spans="1:10" x14ac:dyDescent="0.25">
      <c r="A236" s="384" t="s">
        <v>7</v>
      </c>
      <c r="B236" s="378" t="s">
        <v>14</v>
      </c>
      <c r="C236" s="385" t="s">
        <v>43</v>
      </c>
      <c r="D236" s="385" t="str">
        <f ca="1">IFERROR(OFFSET(Camp_List[P_Code],MATCH(Data_Demography_t[[#This Row],[Camp]],Camp_List[Camp Name],0)-1,0,1,1),"")</f>
        <v>MMR012CMP019</v>
      </c>
      <c r="E236" s="386" t="s">
        <v>930</v>
      </c>
      <c r="F236" s="385" t="s">
        <v>752</v>
      </c>
      <c r="G236" s="381">
        <v>216</v>
      </c>
      <c r="H236" s="177">
        <f t="shared" si="5"/>
        <v>-216</v>
      </c>
      <c r="I236" s="468" t="s">
        <v>757</v>
      </c>
      <c r="J236" s="377">
        <v>42212</v>
      </c>
    </row>
    <row r="237" spans="1:10" x14ac:dyDescent="0.25">
      <c r="A237" s="384" t="s">
        <v>7</v>
      </c>
      <c r="B237" s="378" t="s">
        <v>14</v>
      </c>
      <c r="C237" s="385" t="s">
        <v>43</v>
      </c>
      <c r="D237" s="385" t="str">
        <f ca="1">IFERROR(OFFSET(Camp_List[P_Code],MATCH(Data_Demography_t[[#This Row],[Camp]],Camp_List[Camp Name],0)-1,0,1,1),"")</f>
        <v>MMR012CMP019</v>
      </c>
      <c r="E237" s="386" t="s">
        <v>930</v>
      </c>
      <c r="F237" s="447" t="s">
        <v>753</v>
      </c>
      <c r="G237" s="381">
        <v>248</v>
      </c>
      <c r="H237" s="177">
        <f t="shared" si="5"/>
        <v>248</v>
      </c>
      <c r="I237" s="468" t="s">
        <v>757</v>
      </c>
      <c r="J237" s="377">
        <v>42212</v>
      </c>
    </row>
    <row r="238" spans="1:10" x14ac:dyDescent="0.25">
      <c r="A238" s="384" t="s">
        <v>7</v>
      </c>
      <c r="B238" s="378" t="s">
        <v>14</v>
      </c>
      <c r="C238" s="385" t="s">
        <v>43</v>
      </c>
      <c r="D238" s="385" t="str">
        <f ca="1">IFERROR(OFFSET(Camp_List[P_Code],MATCH(Data_Demography_t[[#This Row],[Camp]],Camp_List[Camp Name],0)-1,0,1,1),"")</f>
        <v>MMR012CMP019</v>
      </c>
      <c r="E238" s="386" t="s">
        <v>931</v>
      </c>
      <c r="F238" s="385" t="s">
        <v>752</v>
      </c>
      <c r="G238" s="381">
        <v>422</v>
      </c>
      <c r="H238" s="177">
        <f t="shared" si="5"/>
        <v>-422</v>
      </c>
      <c r="I238" s="468" t="s">
        <v>757</v>
      </c>
      <c r="J238" s="377">
        <v>42212</v>
      </c>
    </row>
    <row r="239" spans="1:10" x14ac:dyDescent="0.25">
      <c r="A239" s="388" t="s">
        <v>7</v>
      </c>
      <c r="B239" s="443" t="s">
        <v>14</v>
      </c>
      <c r="C239" s="442" t="s">
        <v>43</v>
      </c>
      <c r="D239" s="442" t="str">
        <f ca="1">IFERROR(OFFSET(Camp_List[P_Code],MATCH(Data_Demography_t[[#This Row],[Camp]],Camp_List[Camp Name],0)-1,0,1,1),"")</f>
        <v>MMR012CMP019</v>
      </c>
      <c r="E239" s="386" t="s">
        <v>931</v>
      </c>
      <c r="F239" s="447" t="s">
        <v>753</v>
      </c>
      <c r="G239" s="389">
        <v>454</v>
      </c>
      <c r="H239" s="177">
        <f t="shared" si="5"/>
        <v>454</v>
      </c>
      <c r="I239" s="472" t="s">
        <v>757</v>
      </c>
      <c r="J239" s="377">
        <v>42212</v>
      </c>
    </row>
    <row r="240" spans="1:10" x14ac:dyDescent="0.25">
      <c r="A240" s="388" t="s">
        <v>7</v>
      </c>
      <c r="B240" s="443" t="s">
        <v>14</v>
      </c>
      <c r="C240" s="442" t="s">
        <v>43</v>
      </c>
      <c r="D240" s="442" t="str">
        <f ca="1">IFERROR(OFFSET(Camp_List[P_Code],MATCH(Data_Demography_t[[#This Row],[Camp]],Camp_List[Camp Name],0)-1,0,1,1),"")</f>
        <v>MMR012CMP019</v>
      </c>
      <c r="E240" s="386" t="s">
        <v>905</v>
      </c>
      <c r="F240" s="387" t="s">
        <v>752</v>
      </c>
      <c r="G240" s="389">
        <v>40</v>
      </c>
      <c r="H240" s="369">
        <f t="shared" si="5"/>
        <v>-40</v>
      </c>
      <c r="I240" s="385" t="s">
        <v>757</v>
      </c>
      <c r="J240" s="377">
        <v>42212</v>
      </c>
    </row>
    <row r="241" spans="1:10" x14ac:dyDescent="0.25">
      <c r="A241" s="388" t="s">
        <v>7</v>
      </c>
      <c r="B241" s="443" t="s">
        <v>14</v>
      </c>
      <c r="C241" s="442" t="s">
        <v>43</v>
      </c>
      <c r="D241" s="442" t="str">
        <f ca="1">IFERROR(OFFSET(Camp_List[P_Code],MATCH(Data_Demography_t[[#This Row],[Camp]],Camp_List[Camp Name],0)-1,0,1,1),"")</f>
        <v>MMR012CMP019</v>
      </c>
      <c r="E241" s="386" t="s">
        <v>905</v>
      </c>
      <c r="F241" s="387" t="s">
        <v>753</v>
      </c>
      <c r="G241" s="389">
        <v>61</v>
      </c>
      <c r="H241" s="369">
        <f t="shared" si="5"/>
        <v>61</v>
      </c>
      <c r="I241" s="385" t="s">
        <v>757</v>
      </c>
      <c r="J241" s="377">
        <v>42212</v>
      </c>
    </row>
    <row r="242" spans="1:10" x14ac:dyDescent="0.25">
      <c r="A242" s="384" t="s">
        <v>7</v>
      </c>
      <c r="B242" s="435" t="s">
        <v>915</v>
      </c>
      <c r="C242" s="447" t="s">
        <v>38</v>
      </c>
      <c r="D242" s="465" t="str">
        <f ca="1">IFERROR(OFFSET(Camp_List[P_Code],MATCH(Data_Demography_t[[#This Row],[Camp]],Camp_List[Camp Name],0)-1,0,1,1),"")</f>
        <v>MMR012CMP014</v>
      </c>
      <c r="E242" s="386" t="s">
        <v>754</v>
      </c>
      <c r="F242" s="385" t="s">
        <v>752</v>
      </c>
      <c r="G242" s="466">
        <v>238</v>
      </c>
      <c r="H242" s="467">
        <f t="shared" si="5"/>
        <v>-238</v>
      </c>
      <c r="I242" s="701" t="s">
        <v>733</v>
      </c>
      <c r="J242" s="471">
        <v>42128</v>
      </c>
    </row>
    <row r="243" spans="1:10" x14ac:dyDescent="0.25">
      <c r="A243" s="384" t="s">
        <v>7</v>
      </c>
      <c r="B243" s="435" t="s">
        <v>915</v>
      </c>
      <c r="C243" s="447" t="s">
        <v>38</v>
      </c>
      <c r="D243" s="465" t="str">
        <f ca="1">IFERROR(OFFSET(Camp_List[P_Code],MATCH(Data_Demography_t[[#This Row],[Camp]],Camp_List[Camp Name],0)-1,0,1,1),"")</f>
        <v>MMR012CMP014</v>
      </c>
      <c r="E243" s="386" t="s">
        <v>754</v>
      </c>
      <c r="F243" s="447" t="s">
        <v>753</v>
      </c>
      <c r="G243" s="466">
        <v>266</v>
      </c>
      <c r="H243" s="467">
        <f t="shared" si="5"/>
        <v>266</v>
      </c>
      <c r="I243" s="701" t="s">
        <v>733</v>
      </c>
      <c r="J243" s="471">
        <v>42128</v>
      </c>
    </row>
    <row r="244" spans="1:10" x14ac:dyDescent="0.25">
      <c r="A244" s="384" t="s">
        <v>7</v>
      </c>
      <c r="B244" s="435" t="s">
        <v>915</v>
      </c>
      <c r="C244" s="447" t="s">
        <v>38</v>
      </c>
      <c r="D244" s="465" t="str">
        <f ca="1">IFERROR(OFFSET(Camp_List[P_Code],MATCH(Data_Demography_t[[#This Row],[Camp]],Camp_List[Camp Name],0)-1,0,1,1),"")</f>
        <v>MMR012CMP014</v>
      </c>
      <c r="E244" s="386" t="s">
        <v>929</v>
      </c>
      <c r="F244" s="385" t="s">
        <v>752</v>
      </c>
      <c r="G244" s="466">
        <v>237</v>
      </c>
      <c r="H244" s="467">
        <f t="shared" si="5"/>
        <v>-237</v>
      </c>
      <c r="I244" s="701" t="s">
        <v>733</v>
      </c>
      <c r="J244" s="471">
        <v>42128</v>
      </c>
    </row>
    <row r="245" spans="1:10" x14ac:dyDescent="0.25">
      <c r="A245" s="384" t="s">
        <v>7</v>
      </c>
      <c r="B245" s="435" t="s">
        <v>915</v>
      </c>
      <c r="C245" s="447" t="s">
        <v>38</v>
      </c>
      <c r="D245" s="465" t="str">
        <f ca="1">IFERROR(OFFSET(Camp_List[P_Code],MATCH(Data_Demography_t[[#This Row],[Camp]],Camp_List[Camp Name],0)-1,0,1,1),"")</f>
        <v>MMR012CMP014</v>
      </c>
      <c r="E245" s="386" t="s">
        <v>929</v>
      </c>
      <c r="F245" s="447" t="s">
        <v>753</v>
      </c>
      <c r="G245" s="466">
        <v>259</v>
      </c>
      <c r="H245" s="467">
        <f t="shared" si="5"/>
        <v>259</v>
      </c>
      <c r="I245" s="701" t="s">
        <v>733</v>
      </c>
      <c r="J245" s="471">
        <v>42128</v>
      </c>
    </row>
    <row r="246" spans="1:10" x14ac:dyDescent="0.25">
      <c r="A246" s="384" t="s">
        <v>7</v>
      </c>
      <c r="B246" s="435" t="s">
        <v>915</v>
      </c>
      <c r="C246" s="447" t="s">
        <v>38</v>
      </c>
      <c r="D246" s="465" t="str">
        <f ca="1">IFERROR(OFFSET(Camp_List[P_Code],MATCH(Data_Demography_t[[#This Row],[Camp]],Camp_List[Camp Name],0)-1,0,1,1),"")</f>
        <v>MMR012CMP014</v>
      </c>
      <c r="E246" s="382" t="s">
        <v>679</v>
      </c>
      <c r="F246" s="385" t="s">
        <v>752</v>
      </c>
      <c r="G246" s="466">
        <v>193</v>
      </c>
      <c r="H246" s="467">
        <f t="shared" si="5"/>
        <v>-193</v>
      </c>
      <c r="I246" s="701" t="s">
        <v>733</v>
      </c>
      <c r="J246" s="471">
        <v>42128</v>
      </c>
    </row>
    <row r="247" spans="1:10" x14ac:dyDescent="0.25">
      <c r="A247" s="384" t="s">
        <v>7</v>
      </c>
      <c r="B247" s="435" t="s">
        <v>915</v>
      </c>
      <c r="C247" s="447" t="s">
        <v>38</v>
      </c>
      <c r="D247" s="465" t="str">
        <f ca="1">IFERROR(OFFSET(Camp_List[P_Code],MATCH(Data_Demography_t[[#This Row],[Camp]],Camp_List[Camp Name],0)-1,0,1,1),"")</f>
        <v>MMR012CMP014</v>
      </c>
      <c r="E247" s="382" t="s">
        <v>679</v>
      </c>
      <c r="F247" s="447" t="s">
        <v>753</v>
      </c>
      <c r="G247" s="466">
        <v>209</v>
      </c>
      <c r="H247" s="467">
        <f t="shared" si="5"/>
        <v>209</v>
      </c>
      <c r="I247" s="701" t="s">
        <v>733</v>
      </c>
      <c r="J247" s="471">
        <v>42128</v>
      </c>
    </row>
    <row r="248" spans="1:10" x14ac:dyDescent="0.25">
      <c r="A248" s="384" t="s">
        <v>7</v>
      </c>
      <c r="B248" s="435" t="s">
        <v>915</v>
      </c>
      <c r="C248" s="447" t="s">
        <v>38</v>
      </c>
      <c r="D248" s="465" t="str">
        <f ca="1">IFERROR(OFFSET(Camp_List[P_Code],MATCH(Data_Demography_t[[#This Row],[Camp]],Camp_List[Camp Name],0)-1,0,1,1),"")</f>
        <v>MMR012CMP014</v>
      </c>
      <c r="E248" s="386" t="s">
        <v>930</v>
      </c>
      <c r="F248" s="385" t="s">
        <v>752</v>
      </c>
      <c r="G248" s="466">
        <v>165</v>
      </c>
      <c r="H248" s="467">
        <f t="shared" si="5"/>
        <v>-165</v>
      </c>
      <c r="I248" s="701" t="s">
        <v>733</v>
      </c>
      <c r="J248" s="471">
        <v>42128</v>
      </c>
    </row>
    <row r="249" spans="1:10" x14ac:dyDescent="0.25">
      <c r="A249" s="384" t="s">
        <v>7</v>
      </c>
      <c r="B249" s="435" t="s">
        <v>915</v>
      </c>
      <c r="C249" s="447" t="s">
        <v>38</v>
      </c>
      <c r="D249" s="385" t="str">
        <f ca="1">IFERROR(OFFSET(Camp_List[P_Code],MATCH(Data_Demography_t[[#This Row],[Camp]],Camp_List[Camp Name],0)-1,0,1,1),"")</f>
        <v>MMR012CMP014</v>
      </c>
      <c r="E249" s="386" t="s">
        <v>930</v>
      </c>
      <c r="F249" s="447" t="s">
        <v>753</v>
      </c>
      <c r="G249" s="381">
        <v>195</v>
      </c>
      <c r="H249" s="177">
        <f t="shared" si="5"/>
        <v>195</v>
      </c>
      <c r="I249" s="701" t="s">
        <v>733</v>
      </c>
      <c r="J249" s="471">
        <v>42128</v>
      </c>
    </row>
    <row r="250" spans="1:10" x14ac:dyDescent="0.25">
      <c r="A250" s="384" t="s">
        <v>7</v>
      </c>
      <c r="B250" s="435" t="s">
        <v>915</v>
      </c>
      <c r="C250" s="447" t="s">
        <v>38</v>
      </c>
      <c r="D250" s="385" t="str">
        <f ca="1">IFERROR(OFFSET(Camp_List[P_Code],MATCH(Data_Demography_t[[#This Row],[Camp]],Camp_List[Camp Name],0)-1,0,1,1),"")</f>
        <v>MMR012CMP014</v>
      </c>
      <c r="E250" s="386" t="s">
        <v>931</v>
      </c>
      <c r="F250" s="385" t="s">
        <v>752</v>
      </c>
      <c r="G250" s="381">
        <v>375</v>
      </c>
      <c r="H250" s="177">
        <f t="shared" si="5"/>
        <v>-375</v>
      </c>
      <c r="I250" s="701" t="s">
        <v>733</v>
      </c>
      <c r="J250" s="471">
        <v>42128</v>
      </c>
    </row>
    <row r="251" spans="1:10" x14ac:dyDescent="0.25">
      <c r="A251" s="384" t="s">
        <v>7</v>
      </c>
      <c r="B251" s="435" t="s">
        <v>915</v>
      </c>
      <c r="C251" s="447" t="s">
        <v>38</v>
      </c>
      <c r="D251" s="465" t="str">
        <f ca="1">IFERROR(OFFSET(Camp_List[P_Code],MATCH(Data_Demography_t[[#This Row],[Camp]],Camp_List[Camp Name],0)-1,0,1,1),"")</f>
        <v>MMR012CMP014</v>
      </c>
      <c r="E251" s="386" t="s">
        <v>931</v>
      </c>
      <c r="F251" s="447" t="s">
        <v>753</v>
      </c>
      <c r="G251" s="466">
        <v>471</v>
      </c>
      <c r="H251" s="467">
        <f t="shared" si="5"/>
        <v>471</v>
      </c>
      <c r="I251" s="701" t="s">
        <v>733</v>
      </c>
      <c r="J251" s="471">
        <v>42128</v>
      </c>
    </row>
    <row r="252" spans="1:10" x14ac:dyDescent="0.25">
      <c r="A252" s="384" t="s">
        <v>7</v>
      </c>
      <c r="B252" s="378" t="s">
        <v>915</v>
      </c>
      <c r="C252" s="385" t="s">
        <v>38</v>
      </c>
      <c r="D252" s="385" t="str">
        <f ca="1">IFERROR(OFFSET(Camp_List[P_Code],MATCH(Data_Demography_t[[#This Row],[Camp]],Camp_List[Camp Name],0)-1,0,1,1),"")</f>
        <v>MMR012CMP014</v>
      </c>
      <c r="E252" s="386" t="s">
        <v>905</v>
      </c>
      <c r="F252" s="387" t="s">
        <v>752</v>
      </c>
      <c r="G252" s="381">
        <v>51</v>
      </c>
      <c r="H252" s="177">
        <f t="shared" si="5"/>
        <v>-51</v>
      </c>
      <c r="I252" s="468" t="s">
        <v>733</v>
      </c>
      <c r="J252" s="383">
        <v>42128</v>
      </c>
    </row>
    <row r="253" spans="1:10" x14ac:dyDescent="0.25">
      <c r="A253" s="384" t="s">
        <v>7</v>
      </c>
      <c r="B253" s="378" t="s">
        <v>915</v>
      </c>
      <c r="C253" s="385" t="s">
        <v>38</v>
      </c>
      <c r="D253" s="385" t="str">
        <f ca="1">IFERROR(OFFSET(Camp_List[P_Code],MATCH(Data_Demography_t[[#This Row],[Camp]],Camp_List[Camp Name],0)-1,0,1,1),"")</f>
        <v>MMR012CMP014</v>
      </c>
      <c r="E253" s="386" t="s">
        <v>905</v>
      </c>
      <c r="F253" s="387" t="s">
        <v>753</v>
      </c>
      <c r="G253" s="381">
        <v>42</v>
      </c>
      <c r="H253" s="177">
        <f t="shared" si="5"/>
        <v>42</v>
      </c>
      <c r="I253" s="468" t="s">
        <v>733</v>
      </c>
      <c r="J253" s="383">
        <v>42128</v>
      </c>
    </row>
    <row r="254" spans="1:10" x14ac:dyDescent="0.25">
      <c r="A254" s="384" t="s">
        <v>7</v>
      </c>
      <c r="B254" s="378" t="s">
        <v>19</v>
      </c>
      <c r="C254" s="385" t="s">
        <v>68</v>
      </c>
      <c r="D254" s="385" t="str">
        <f ca="1">IFERROR(OFFSET(Camp_List[P_Code],MATCH(Data_Demography_t[[#This Row],[Camp]],Camp_List[Camp Name],0)-1,0,1,1),"")</f>
        <v>MMR012CMP046</v>
      </c>
      <c r="E254" s="386" t="s">
        <v>754</v>
      </c>
      <c r="F254" s="385" t="s">
        <v>752</v>
      </c>
      <c r="G254" s="381">
        <v>842</v>
      </c>
      <c r="H254" s="177">
        <f t="shared" si="5"/>
        <v>-842</v>
      </c>
      <c r="I254" s="468" t="s">
        <v>643</v>
      </c>
      <c r="J254" s="383">
        <v>42113</v>
      </c>
    </row>
    <row r="255" spans="1:10" x14ac:dyDescent="0.25">
      <c r="A255" s="384" t="s">
        <v>7</v>
      </c>
      <c r="B255" s="378" t="s">
        <v>19</v>
      </c>
      <c r="C255" s="385" t="s">
        <v>68</v>
      </c>
      <c r="D255" s="385" t="str">
        <f ca="1">IFERROR(OFFSET(Camp_List[P_Code],MATCH(Data_Demography_t[[#This Row],[Camp]],Camp_List[Camp Name],0)-1,0,1,1),"")</f>
        <v>MMR012CMP046</v>
      </c>
      <c r="E255" s="386" t="s">
        <v>754</v>
      </c>
      <c r="F255" s="447" t="s">
        <v>753</v>
      </c>
      <c r="G255" s="381">
        <v>951</v>
      </c>
      <c r="H255" s="177">
        <f t="shared" si="5"/>
        <v>951</v>
      </c>
      <c r="I255" s="468" t="s">
        <v>643</v>
      </c>
      <c r="J255" s="383">
        <v>42113</v>
      </c>
    </row>
    <row r="256" spans="1:10" x14ac:dyDescent="0.25">
      <c r="A256" s="384" t="s">
        <v>7</v>
      </c>
      <c r="B256" s="378" t="s">
        <v>19</v>
      </c>
      <c r="C256" s="385" t="s">
        <v>68</v>
      </c>
      <c r="D256" s="385" t="str">
        <f ca="1">IFERROR(OFFSET(Camp_List[P_Code],MATCH(Data_Demography_t[[#This Row],[Camp]],Camp_List[Camp Name],0)-1,0,1,1),"")</f>
        <v>MMR012CMP046</v>
      </c>
      <c r="E256" s="386" t="s">
        <v>929</v>
      </c>
      <c r="F256" s="385" t="s">
        <v>752</v>
      </c>
      <c r="G256" s="381">
        <v>1027</v>
      </c>
      <c r="H256" s="177">
        <f t="shared" si="5"/>
        <v>-1027</v>
      </c>
      <c r="I256" s="468" t="s">
        <v>643</v>
      </c>
      <c r="J256" s="383">
        <v>42113</v>
      </c>
    </row>
    <row r="257" spans="1:10" x14ac:dyDescent="0.25">
      <c r="A257" s="384" t="s">
        <v>7</v>
      </c>
      <c r="B257" s="378" t="s">
        <v>19</v>
      </c>
      <c r="C257" s="385" t="s">
        <v>68</v>
      </c>
      <c r="D257" s="385" t="str">
        <f ca="1">IFERROR(OFFSET(Camp_List[P_Code],MATCH(Data_Demography_t[[#This Row],[Camp]],Camp_List[Camp Name],0)-1,0,1,1),"")</f>
        <v>MMR012CMP046</v>
      </c>
      <c r="E257" s="386" t="s">
        <v>929</v>
      </c>
      <c r="F257" s="447" t="s">
        <v>753</v>
      </c>
      <c r="G257" s="381">
        <v>987</v>
      </c>
      <c r="H257" s="177">
        <f t="shared" si="5"/>
        <v>987</v>
      </c>
      <c r="I257" s="468" t="s">
        <v>643</v>
      </c>
      <c r="J257" s="383">
        <v>42113</v>
      </c>
    </row>
    <row r="258" spans="1:10" x14ac:dyDescent="0.25">
      <c r="A258" s="384" t="s">
        <v>7</v>
      </c>
      <c r="B258" s="378" t="s">
        <v>19</v>
      </c>
      <c r="C258" s="385" t="s">
        <v>68</v>
      </c>
      <c r="D258" s="385" t="str">
        <f ca="1">IFERROR(OFFSET(Camp_List[P_Code],MATCH(Data_Demography_t[[#This Row],[Camp]],Camp_List[Camp Name],0)-1,0,1,1),"")</f>
        <v>MMR012CMP046</v>
      </c>
      <c r="E258" s="382" t="s">
        <v>679</v>
      </c>
      <c r="F258" s="385" t="s">
        <v>752</v>
      </c>
      <c r="G258" s="381">
        <v>960</v>
      </c>
      <c r="H258" s="177">
        <f t="shared" si="5"/>
        <v>-960</v>
      </c>
      <c r="I258" s="468" t="s">
        <v>643</v>
      </c>
      <c r="J258" s="383">
        <v>42113</v>
      </c>
    </row>
    <row r="259" spans="1:10" x14ac:dyDescent="0.25">
      <c r="A259" s="384" t="s">
        <v>7</v>
      </c>
      <c r="B259" s="378" t="s">
        <v>19</v>
      </c>
      <c r="C259" s="385" t="s">
        <v>68</v>
      </c>
      <c r="D259" s="385" t="str">
        <f ca="1">IFERROR(OFFSET(Camp_List[P_Code],MATCH(Data_Demography_t[[#This Row],[Camp]],Camp_List[Camp Name],0)-1,0,1,1),"")</f>
        <v>MMR012CMP046</v>
      </c>
      <c r="E259" s="382" t="s">
        <v>679</v>
      </c>
      <c r="F259" s="447" t="s">
        <v>753</v>
      </c>
      <c r="G259" s="381">
        <v>924</v>
      </c>
      <c r="H259" s="177">
        <f t="shared" si="5"/>
        <v>924</v>
      </c>
      <c r="I259" s="468" t="s">
        <v>643</v>
      </c>
      <c r="J259" s="383">
        <v>42113</v>
      </c>
    </row>
    <row r="260" spans="1:10" x14ac:dyDescent="0.25">
      <c r="A260" s="384" t="s">
        <v>7</v>
      </c>
      <c r="B260" s="378" t="s">
        <v>19</v>
      </c>
      <c r="C260" s="385" t="s">
        <v>68</v>
      </c>
      <c r="D260" s="385" t="str">
        <f ca="1">IFERROR(OFFSET(Camp_List[P_Code],MATCH(Data_Demography_t[[#This Row],[Camp]],Camp_List[Camp Name],0)-1,0,1,1),"")</f>
        <v>MMR012CMP046</v>
      </c>
      <c r="E260" s="386" t="s">
        <v>930</v>
      </c>
      <c r="F260" s="385" t="s">
        <v>752</v>
      </c>
      <c r="G260" s="381">
        <v>1002</v>
      </c>
      <c r="H260" s="177">
        <f t="shared" si="5"/>
        <v>-1002</v>
      </c>
      <c r="I260" s="468" t="s">
        <v>643</v>
      </c>
      <c r="J260" s="383">
        <v>42113</v>
      </c>
    </row>
    <row r="261" spans="1:10" x14ac:dyDescent="0.25">
      <c r="A261" s="384" t="s">
        <v>7</v>
      </c>
      <c r="B261" s="378" t="s">
        <v>19</v>
      </c>
      <c r="C261" s="385" t="s">
        <v>68</v>
      </c>
      <c r="D261" s="385" t="str">
        <f ca="1">IFERROR(OFFSET(Camp_List[P_Code],MATCH(Data_Demography_t[[#This Row],[Camp]],Camp_List[Camp Name],0)-1,0,1,1),"")</f>
        <v>MMR012CMP046</v>
      </c>
      <c r="E261" s="386" t="s">
        <v>930</v>
      </c>
      <c r="F261" s="447" t="s">
        <v>753</v>
      </c>
      <c r="G261" s="381">
        <v>1217</v>
      </c>
      <c r="H261" s="177">
        <f t="shared" si="5"/>
        <v>1217</v>
      </c>
      <c r="I261" s="468" t="s">
        <v>643</v>
      </c>
      <c r="J261" s="383">
        <v>42113</v>
      </c>
    </row>
    <row r="262" spans="1:10" x14ac:dyDescent="0.25">
      <c r="A262" s="384" t="s">
        <v>7</v>
      </c>
      <c r="B262" s="378" t="s">
        <v>19</v>
      </c>
      <c r="C262" s="385" t="s">
        <v>68</v>
      </c>
      <c r="D262" s="465" t="str">
        <f ca="1">IFERROR(OFFSET(Camp_List[P_Code],MATCH(Data_Demography_t[[#This Row],[Camp]],Camp_List[Camp Name],0)-1,0,1,1),"")</f>
        <v>MMR012CMP046</v>
      </c>
      <c r="E262" s="386" t="s">
        <v>931</v>
      </c>
      <c r="F262" s="385" t="s">
        <v>752</v>
      </c>
      <c r="G262" s="466">
        <v>1554</v>
      </c>
      <c r="H262" s="467">
        <f t="shared" si="5"/>
        <v>-1554</v>
      </c>
      <c r="I262" s="468" t="s">
        <v>643</v>
      </c>
      <c r="J262" s="383">
        <v>42113</v>
      </c>
    </row>
    <row r="263" spans="1:10" x14ac:dyDescent="0.25">
      <c r="A263" s="384" t="s">
        <v>7</v>
      </c>
      <c r="B263" s="378" t="s">
        <v>19</v>
      </c>
      <c r="C263" s="385" t="s">
        <v>68</v>
      </c>
      <c r="D263" s="465" t="str">
        <f ca="1">IFERROR(OFFSET(Camp_List[P_Code],MATCH(Data_Demography_t[[#This Row],[Camp]],Camp_List[Camp Name],0)-1,0,1,1),"")</f>
        <v>MMR012CMP046</v>
      </c>
      <c r="E263" s="386" t="s">
        <v>931</v>
      </c>
      <c r="F263" s="447" t="s">
        <v>753</v>
      </c>
      <c r="G263" s="466">
        <v>1821</v>
      </c>
      <c r="H263" s="467">
        <f t="shared" si="5"/>
        <v>1821</v>
      </c>
      <c r="I263" s="468" t="s">
        <v>643</v>
      </c>
      <c r="J263" s="383">
        <v>42113</v>
      </c>
    </row>
    <row r="264" spans="1:10" x14ac:dyDescent="0.25">
      <c r="A264" s="384" t="s">
        <v>7</v>
      </c>
      <c r="B264" s="435" t="s">
        <v>19</v>
      </c>
      <c r="C264" s="447" t="s">
        <v>68</v>
      </c>
      <c r="D264" s="465" t="str">
        <f ca="1">IFERROR(OFFSET(Camp_List[P_Code],MATCH(Data_Demography_t[[#This Row],[Camp]],Camp_List[Camp Name],0)-1,0,1,1),"")</f>
        <v>MMR012CMP046</v>
      </c>
      <c r="E264" s="386" t="s">
        <v>905</v>
      </c>
      <c r="F264" s="385" t="s">
        <v>752</v>
      </c>
      <c r="G264" s="466">
        <v>208</v>
      </c>
      <c r="H264" s="467">
        <f t="shared" si="5"/>
        <v>-208</v>
      </c>
      <c r="I264" s="701" t="s">
        <v>643</v>
      </c>
      <c r="J264" s="471">
        <v>42113</v>
      </c>
    </row>
    <row r="265" spans="1:10" x14ac:dyDescent="0.25">
      <c r="A265" s="384" t="s">
        <v>7</v>
      </c>
      <c r="B265" s="435" t="s">
        <v>19</v>
      </c>
      <c r="C265" s="447" t="s">
        <v>68</v>
      </c>
      <c r="D265" s="465" t="str">
        <f ca="1">IFERROR(OFFSET(Camp_List[P_Code],MATCH(Data_Demography_t[[#This Row],[Camp]],Camp_List[Camp Name],0)-1,0,1,1),"")</f>
        <v>MMR012CMP046</v>
      </c>
      <c r="E265" s="386" t="s">
        <v>905</v>
      </c>
      <c r="F265" s="447" t="s">
        <v>753</v>
      </c>
      <c r="G265" s="466">
        <v>170</v>
      </c>
      <c r="H265" s="467">
        <f t="shared" si="5"/>
        <v>170</v>
      </c>
      <c r="I265" s="701" t="s">
        <v>643</v>
      </c>
      <c r="J265" s="471">
        <v>42113</v>
      </c>
    </row>
    <row r="266" spans="1:10" x14ac:dyDescent="0.25">
      <c r="A266" s="384" t="s">
        <v>7</v>
      </c>
      <c r="B266" s="378" t="s">
        <v>19</v>
      </c>
      <c r="C266" s="385" t="s">
        <v>70</v>
      </c>
      <c r="D266" s="385" t="str">
        <f ca="1">IFERROR(OFFSET(Camp_List[P_Code],MATCH(Data_Demography_t[[#This Row],[Camp]],Camp_List[Camp Name],0)-1,0,1,1),"")</f>
        <v>MMR012CMP048</v>
      </c>
      <c r="E266" s="386" t="s">
        <v>754</v>
      </c>
      <c r="F266" s="387" t="s">
        <v>752</v>
      </c>
      <c r="G266" s="381">
        <v>523</v>
      </c>
      <c r="H266" s="177">
        <f t="shared" si="5"/>
        <v>-523</v>
      </c>
      <c r="I266" s="468" t="s">
        <v>757</v>
      </c>
      <c r="J266" s="383">
        <v>42171</v>
      </c>
    </row>
    <row r="267" spans="1:10" x14ac:dyDescent="0.25">
      <c r="A267" s="384" t="s">
        <v>7</v>
      </c>
      <c r="B267" s="378" t="s">
        <v>19</v>
      </c>
      <c r="C267" s="385" t="s">
        <v>70</v>
      </c>
      <c r="D267" s="385" t="str">
        <f ca="1">IFERROR(OFFSET(Camp_List[P_Code],MATCH(Data_Demography_t[[#This Row],[Camp]],Camp_List[Camp Name],0)-1,0,1,1),"")</f>
        <v>MMR012CMP048</v>
      </c>
      <c r="E267" s="386" t="s">
        <v>754</v>
      </c>
      <c r="F267" s="387" t="s">
        <v>753</v>
      </c>
      <c r="G267" s="381">
        <v>564</v>
      </c>
      <c r="H267" s="177">
        <f t="shared" si="5"/>
        <v>564</v>
      </c>
      <c r="I267" s="468" t="s">
        <v>757</v>
      </c>
      <c r="J267" s="383">
        <v>42171</v>
      </c>
    </row>
    <row r="268" spans="1:10" x14ac:dyDescent="0.25">
      <c r="A268" s="384" t="s">
        <v>7</v>
      </c>
      <c r="B268" s="378" t="s">
        <v>19</v>
      </c>
      <c r="C268" s="385" t="s">
        <v>70</v>
      </c>
      <c r="D268" s="385" t="str">
        <f ca="1">IFERROR(OFFSET(Camp_List[P_Code],MATCH(Data_Demography_t[[#This Row],[Camp]],Camp_List[Camp Name],0)-1,0,1,1),"")</f>
        <v>MMR012CMP048</v>
      </c>
      <c r="E268" s="386" t="s">
        <v>929</v>
      </c>
      <c r="F268" s="387" t="s">
        <v>752</v>
      </c>
      <c r="G268" s="381">
        <v>490</v>
      </c>
      <c r="H268" s="177">
        <f t="shared" si="5"/>
        <v>-490</v>
      </c>
      <c r="I268" s="468" t="s">
        <v>757</v>
      </c>
      <c r="J268" s="383">
        <v>42171</v>
      </c>
    </row>
    <row r="269" spans="1:10" x14ac:dyDescent="0.25">
      <c r="A269" s="384" t="s">
        <v>7</v>
      </c>
      <c r="B269" s="378" t="s">
        <v>19</v>
      </c>
      <c r="C269" s="385" t="s">
        <v>70</v>
      </c>
      <c r="D269" s="385" t="str">
        <f ca="1">IFERROR(OFFSET(Camp_List[P_Code],MATCH(Data_Demography_t[[#This Row],[Camp]],Camp_List[Camp Name],0)-1,0,1,1),"")</f>
        <v>MMR012CMP048</v>
      </c>
      <c r="E269" s="386" t="s">
        <v>929</v>
      </c>
      <c r="F269" s="387" t="s">
        <v>753</v>
      </c>
      <c r="G269" s="381">
        <v>470</v>
      </c>
      <c r="H269" s="177">
        <f t="shared" si="5"/>
        <v>470</v>
      </c>
      <c r="I269" s="468" t="s">
        <v>757</v>
      </c>
      <c r="J269" s="383">
        <v>42171</v>
      </c>
    </row>
    <row r="270" spans="1:10" x14ac:dyDescent="0.25">
      <c r="A270" s="384" t="s">
        <v>7</v>
      </c>
      <c r="B270" s="378" t="s">
        <v>19</v>
      </c>
      <c r="C270" s="385" t="s">
        <v>70</v>
      </c>
      <c r="D270" s="385" t="str">
        <f ca="1">IFERROR(OFFSET(Camp_List[P_Code],MATCH(Data_Demography_t[[#This Row],[Camp]],Camp_List[Camp Name],0)-1,0,1,1),"")</f>
        <v>MMR012CMP048</v>
      </c>
      <c r="E270" s="386" t="s">
        <v>679</v>
      </c>
      <c r="F270" s="387" t="s">
        <v>752</v>
      </c>
      <c r="G270" s="381">
        <v>399</v>
      </c>
      <c r="H270" s="177">
        <f t="shared" si="5"/>
        <v>-399</v>
      </c>
      <c r="I270" s="468" t="s">
        <v>757</v>
      </c>
      <c r="J270" s="383">
        <v>42171</v>
      </c>
    </row>
    <row r="271" spans="1:10" x14ac:dyDescent="0.25">
      <c r="A271" s="384" t="s">
        <v>7</v>
      </c>
      <c r="B271" s="378" t="s">
        <v>19</v>
      </c>
      <c r="C271" s="385" t="s">
        <v>70</v>
      </c>
      <c r="D271" s="385" t="str">
        <f ca="1">IFERROR(OFFSET(Camp_List[P_Code],MATCH(Data_Demography_t[[#This Row],[Camp]],Camp_List[Camp Name],0)-1,0,1,1),"")</f>
        <v>MMR012CMP048</v>
      </c>
      <c r="E271" s="386" t="s">
        <v>679</v>
      </c>
      <c r="F271" s="387" t="s">
        <v>753</v>
      </c>
      <c r="G271" s="381">
        <v>409</v>
      </c>
      <c r="H271" s="177">
        <f t="shared" si="5"/>
        <v>409</v>
      </c>
      <c r="I271" s="468" t="s">
        <v>757</v>
      </c>
      <c r="J271" s="383">
        <v>42171</v>
      </c>
    </row>
    <row r="272" spans="1:10" x14ac:dyDescent="0.25">
      <c r="A272" s="384" t="s">
        <v>7</v>
      </c>
      <c r="B272" s="378" t="s">
        <v>19</v>
      </c>
      <c r="C272" s="385" t="s">
        <v>70</v>
      </c>
      <c r="D272" s="385" t="str">
        <f ca="1">IFERROR(OFFSET(Camp_List[P_Code],MATCH(Data_Demography_t[[#This Row],[Camp]],Camp_List[Camp Name],0)-1,0,1,1),"")</f>
        <v>MMR012CMP048</v>
      </c>
      <c r="E272" s="386" t="s">
        <v>930</v>
      </c>
      <c r="F272" s="387" t="s">
        <v>752</v>
      </c>
      <c r="G272" s="381">
        <v>399</v>
      </c>
      <c r="H272" s="177">
        <f t="shared" si="5"/>
        <v>-399</v>
      </c>
      <c r="I272" s="468" t="s">
        <v>757</v>
      </c>
      <c r="J272" s="383">
        <v>42171</v>
      </c>
    </row>
    <row r="273" spans="1:10" x14ac:dyDescent="0.25">
      <c r="A273" s="384" t="s">
        <v>7</v>
      </c>
      <c r="B273" s="378" t="s">
        <v>19</v>
      </c>
      <c r="C273" s="385" t="s">
        <v>70</v>
      </c>
      <c r="D273" s="385" t="str">
        <f ca="1">IFERROR(OFFSET(Camp_List[P_Code],MATCH(Data_Demography_t[[#This Row],[Camp]],Camp_List[Camp Name],0)-1,0,1,1),"")</f>
        <v>MMR012CMP048</v>
      </c>
      <c r="E273" s="386" t="s">
        <v>930</v>
      </c>
      <c r="F273" s="387" t="s">
        <v>753</v>
      </c>
      <c r="G273" s="381">
        <v>508</v>
      </c>
      <c r="H273" s="177">
        <f t="shared" si="5"/>
        <v>508</v>
      </c>
      <c r="I273" s="468" t="s">
        <v>757</v>
      </c>
      <c r="J273" s="383">
        <v>42171</v>
      </c>
    </row>
    <row r="274" spans="1:10" x14ac:dyDescent="0.25">
      <c r="A274" s="384" t="s">
        <v>7</v>
      </c>
      <c r="B274" s="378" t="s">
        <v>19</v>
      </c>
      <c r="C274" s="385" t="s">
        <v>70</v>
      </c>
      <c r="D274" s="385" t="str">
        <f ca="1">IFERROR(OFFSET(Camp_List[P_Code],MATCH(Data_Demography_t[[#This Row],[Camp]],Camp_List[Camp Name],0)-1,0,1,1),"")</f>
        <v>MMR012CMP048</v>
      </c>
      <c r="E274" s="386" t="s">
        <v>931</v>
      </c>
      <c r="F274" s="387" t="s">
        <v>752</v>
      </c>
      <c r="G274" s="381">
        <v>810</v>
      </c>
      <c r="H274" s="177">
        <f t="shared" si="5"/>
        <v>-810</v>
      </c>
      <c r="I274" s="468" t="s">
        <v>757</v>
      </c>
      <c r="J274" s="383">
        <v>42171</v>
      </c>
    </row>
    <row r="275" spans="1:10" x14ac:dyDescent="0.25">
      <c r="A275" s="384" t="s">
        <v>7</v>
      </c>
      <c r="B275" s="378" t="s">
        <v>19</v>
      </c>
      <c r="C275" s="385" t="s">
        <v>70</v>
      </c>
      <c r="D275" s="385" t="str">
        <f ca="1">IFERROR(OFFSET(Camp_List[P_Code],MATCH(Data_Demography_t[[#This Row],[Camp]],Camp_List[Camp Name],0)-1,0,1,1),"")</f>
        <v>MMR012CMP048</v>
      </c>
      <c r="E275" s="386" t="s">
        <v>931</v>
      </c>
      <c r="F275" s="387" t="s">
        <v>753</v>
      </c>
      <c r="G275" s="381">
        <v>887</v>
      </c>
      <c r="H275" s="177">
        <f t="shared" si="5"/>
        <v>887</v>
      </c>
      <c r="I275" s="468" t="s">
        <v>757</v>
      </c>
      <c r="J275" s="383">
        <v>42171</v>
      </c>
    </row>
    <row r="276" spans="1:10" x14ac:dyDescent="0.25">
      <c r="A276" s="384" t="s">
        <v>7</v>
      </c>
      <c r="B276" s="378" t="s">
        <v>19</v>
      </c>
      <c r="C276" s="385" t="s">
        <v>70</v>
      </c>
      <c r="D276" s="385" t="str">
        <f ca="1">IFERROR(OFFSET(Camp_List[P_Code],MATCH(Data_Demography_t[[#This Row],[Camp]],Camp_List[Camp Name],0)-1,0,1,1),"")</f>
        <v>MMR012CMP048</v>
      </c>
      <c r="E276" s="386" t="s">
        <v>905</v>
      </c>
      <c r="F276" s="385" t="s">
        <v>752</v>
      </c>
      <c r="G276" s="381">
        <v>100</v>
      </c>
      <c r="H276" s="177">
        <f t="shared" si="5"/>
        <v>-100</v>
      </c>
      <c r="I276" s="468" t="s">
        <v>757</v>
      </c>
      <c r="J276" s="383">
        <v>42171</v>
      </c>
    </row>
    <row r="277" spans="1:10" x14ac:dyDescent="0.25">
      <c r="A277" s="384" t="s">
        <v>7</v>
      </c>
      <c r="B277" s="378" t="s">
        <v>19</v>
      </c>
      <c r="C277" s="385" t="s">
        <v>70</v>
      </c>
      <c r="D277" s="385" t="str">
        <f ca="1">IFERROR(OFFSET(Camp_List[P_Code],MATCH(Data_Demography_t[[#This Row],[Camp]],Camp_List[Camp Name],0)-1,0,1,1),"")</f>
        <v>MMR012CMP048</v>
      </c>
      <c r="E277" s="386" t="s">
        <v>905</v>
      </c>
      <c r="F277" s="447" t="s">
        <v>753</v>
      </c>
      <c r="G277" s="381">
        <v>97</v>
      </c>
      <c r="H277" s="177">
        <f t="shared" si="5"/>
        <v>97</v>
      </c>
      <c r="I277" s="468" t="s">
        <v>757</v>
      </c>
      <c r="J277" s="383">
        <v>42171</v>
      </c>
    </row>
  </sheetData>
  <sortState ref="A2:F131">
    <sortCondition ref="C5"/>
  </sortState>
  <dataValidations count="4">
    <dataValidation type="list" allowBlank="1" showInputMessage="1" showErrorMessage="1" sqref="A2:A277">
      <formula1>State</formula1>
    </dataValidation>
    <dataValidation type="list" allowBlank="1" showInputMessage="1" showErrorMessage="1" sqref="E2:E277">
      <formula1>Age_Category</formula1>
    </dataValidation>
    <dataValidation type="list" showInputMessage="1" showErrorMessage="1" sqref="B2:B277">
      <formula1>INDIRECT(A2)</formula1>
    </dataValidation>
    <dataValidation type="list" errorStyle="warning" showInputMessage="1" showErrorMessage="1" sqref="C2:C277">
      <formula1>OFFSET(TCL_T1,MATCH(B2,TCL_T,0)-1,1,COUNTIF(TCL_T,B2),1)</formula1>
    </dataValidation>
  </dataValidations>
  <pageMargins left="0.7" right="0.7" top="0.75" bottom="0.75" header="0.3" footer="0.3"/>
  <pageSetup paperSize="9" orientation="portrait" r:id="rId3"/>
  <drawing r:id="rId4"/>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M185"/>
  <sheetViews>
    <sheetView zoomScaleNormal="100" workbookViewId="0">
      <selection activeCell="J1" sqref="J1"/>
    </sheetView>
  </sheetViews>
  <sheetFormatPr defaultColWidth="9.140625" defaultRowHeight="12.75" x14ac:dyDescent="0.2"/>
  <cols>
    <col min="1" max="1" width="7.28515625" style="176" bestFit="1" customWidth="1"/>
    <col min="2" max="2" width="10.5703125" style="176" bestFit="1" customWidth="1"/>
    <col min="3" max="3" width="19.140625" style="176" bestFit="1" customWidth="1"/>
    <col min="4" max="4" width="18.7109375" style="176" customWidth="1"/>
    <col min="5" max="5" width="27.42578125" style="176" customWidth="1"/>
    <col min="6" max="6" width="7" style="176" bestFit="1" customWidth="1"/>
    <col min="7" max="7" width="8.42578125" style="176" bestFit="1" customWidth="1"/>
    <col min="8" max="8" width="12.42578125" style="368" customWidth="1"/>
    <col min="9" max="9" width="9.140625" style="176"/>
    <col min="10" max="10" width="25.5703125" style="176" customWidth="1"/>
    <col min="11" max="11" width="12" style="176" customWidth="1"/>
    <col min="12" max="12" width="15.85546875" style="176" bestFit="1" customWidth="1"/>
    <col min="13" max="16384" width="9.140625" style="176"/>
  </cols>
  <sheetData>
    <row r="1" spans="1:13" ht="15" x14ac:dyDescent="0.25">
      <c r="A1" s="390" t="s">
        <v>10</v>
      </c>
      <c r="B1" s="391" t="s">
        <v>1</v>
      </c>
      <c r="C1" s="391" t="s">
        <v>9</v>
      </c>
      <c r="D1" s="391" t="s">
        <v>582</v>
      </c>
      <c r="E1" s="392" t="s">
        <v>765</v>
      </c>
      <c r="F1" s="393" t="s">
        <v>5</v>
      </c>
      <c r="G1" s="398" t="s">
        <v>349</v>
      </c>
      <c r="H1" s="394" t="s">
        <v>919</v>
      </c>
      <c r="J1" s="220" t="s">
        <v>214</v>
      </c>
      <c r="K1" s="31" t="s">
        <v>550</v>
      </c>
    </row>
    <row r="2" spans="1:13" ht="12.75" customHeight="1" x14ac:dyDescent="0.25">
      <c r="A2" s="384" t="s">
        <v>7</v>
      </c>
      <c r="B2" s="419" t="s">
        <v>14</v>
      </c>
      <c r="C2" s="385" t="s">
        <v>40</v>
      </c>
      <c r="D2" s="385" t="str">
        <f ca="1">IFERROR(OFFSET(Camp_List[P_Code],MATCH(Data_Vulnerability_t[[#This Row],[Camp Name]],Camp_List[Camp Name],0)-1,0,1,1),"")</f>
        <v>MMR012CMP016</v>
      </c>
      <c r="E2" s="395" t="s">
        <v>932</v>
      </c>
      <c r="F2" s="177"/>
      <c r="G2" s="378" t="s">
        <v>643</v>
      </c>
      <c r="H2" s="396">
        <v>42100</v>
      </c>
      <c r="J2" s="710" t="s">
        <v>755</v>
      </c>
      <c r="K2" s="320">
        <v>377</v>
      </c>
      <c r="M2"/>
    </row>
    <row r="3" spans="1:13" ht="12.75" customHeight="1" x14ac:dyDescent="0.25">
      <c r="A3" s="384" t="s">
        <v>7</v>
      </c>
      <c r="B3" s="419" t="s">
        <v>14</v>
      </c>
      <c r="C3" s="385" t="s">
        <v>40</v>
      </c>
      <c r="D3" s="385" t="str">
        <f ca="1">IFERROR(OFFSET(Camp_List[P_Code],MATCH(Data_Vulnerability_t[[#This Row],[Camp Name]],Camp_List[Camp Name],0)-1,0,1,1),"")</f>
        <v>MMR012CMP016</v>
      </c>
      <c r="E3" s="395" t="s">
        <v>756</v>
      </c>
      <c r="F3" s="177">
        <v>1</v>
      </c>
      <c r="G3" s="378" t="s">
        <v>643</v>
      </c>
      <c r="H3" s="396">
        <v>42100</v>
      </c>
      <c r="J3" s="710" t="s">
        <v>756</v>
      </c>
      <c r="K3" s="320">
        <v>240</v>
      </c>
      <c r="M3"/>
    </row>
    <row r="4" spans="1:13" ht="12.75" customHeight="1" x14ac:dyDescent="0.25">
      <c r="A4" s="384" t="s">
        <v>7</v>
      </c>
      <c r="B4" s="419" t="s">
        <v>14</v>
      </c>
      <c r="C4" s="385" t="s">
        <v>40</v>
      </c>
      <c r="D4" s="385" t="str">
        <f ca="1">IFERROR(OFFSET(Camp_List[P_Code],MATCH(Data_Vulnerability_t[[#This Row],[Camp Name]],Camp_List[Camp Name],0)-1,0,1,1),"")</f>
        <v>MMR012CMP016</v>
      </c>
      <c r="E4" s="395" t="s">
        <v>755</v>
      </c>
      <c r="F4" s="177"/>
      <c r="G4" s="378" t="s">
        <v>643</v>
      </c>
      <c r="H4" s="396">
        <v>42100</v>
      </c>
      <c r="J4" s="710" t="s">
        <v>932</v>
      </c>
      <c r="K4" s="320">
        <v>633</v>
      </c>
      <c r="M4"/>
    </row>
    <row r="5" spans="1:13" ht="12.75" customHeight="1" x14ac:dyDescent="0.25">
      <c r="A5" s="384" t="s">
        <v>7</v>
      </c>
      <c r="B5" s="419" t="s">
        <v>14</v>
      </c>
      <c r="C5" s="385" t="s">
        <v>40</v>
      </c>
      <c r="D5" s="385" t="str">
        <f ca="1">IFERROR(OFFSET(Camp_List[P_Code],MATCH(Data_Vulnerability_t[[#This Row],[Camp Name]],Camp_List[Camp Name],0)-1,0,1,1),"")</f>
        <v>MMR012CMP016</v>
      </c>
      <c r="E5" s="395" t="s">
        <v>933</v>
      </c>
      <c r="F5" s="177">
        <v>15</v>
      </c>
      <c r="G5" s="378" t="s">
        <v>643</v>
      </c>
      <c r="H5" s="396">
        <v>42100</v>
      </c>
      <c r="J5" s="710" t="s">
        <v>933</v>
      </c>
      <c r="K5" s="320">
        <v>2245</v>
      </c>
      <c r="M5"/>
    </row>
    <row r="6" spans="1:13" ht="12.75" customHeight="1" x14ac:dyDescent="0.25">
      <c r="A6" s="384" t="s">
        <v>7</v>
      </c>
      <c r="B6" s="419" t="s">
        <v>14</v>
      </c>
      <c r="C6" s="385" t="s">
        <v>40</v>
      </c>
      <c r="D6" s="385" t="str">
        <f ca="1">IFERROR(OFFSET(Camp_List[P_Code],MATCH(Data_Vulnerability_t[[#This Row],[Camp Name]],Camp_List[Camp Name],0)-1,0,1,1),"")</f>
        <v>MMR012CMP016</v>
      </c>
      <c r="E6" s="395" t="s">
        <v>936</v>
      </c>
      <c r="F6" s="177">
        <v>286</v>
      </c>
      <c r="G6" s="378" t="s">
        <v>643</v>
      </c>
      <c r="H6" s="396">
        <v>42100</v>
      </c>
      <c r="J6" s="710" t="s">
        <v>936</v>
      </c>
      <c r="K6" s="320">
        <v>3209</v>
      </c>
      <c r="M6"/>
    </row>
    <row r="7" spans="1:13" ht="12.75" customHeight="1" x14ac:dyDescent="0.25">
      <c r="A7" s="384" t="s">
        <v>7</v>
      </c>
      <c r="B7" s="419" t="s">
        <v>14</v>
      </c>
      <c r="C7" s="385" t="s">
        <v>40</v>
      </c>
      <c r="D7" s="385" t="str">
        <f ca="1">IFERROR(OFFSET(Camp_List[P_Code],MATCH(Data_Vulnerability_t[[#This Row],[Camp Name]],Camp_List[Camp Name],0)-1,0,1,1),"")</f>
        <v>MMR012CMP016</v>
      </c>
      <c r="E7" s="395" t="s">
        <v>934</v>
      </c>
      <c r="F7" s="177">
        <v>2</v>
      </c>
      <c r="G7" s="378" t="s">
        <v>643</v>
      </c>
      <c r="H7" s="396">
        <v>42100</v>
      </c>
      <c r="J7" s="710" t="s">
        <v>934</v>
      </c>
      <c r="K7" s="320">
        <v>615</v>
      </c>
      <c r="M7"/>
    </row>
    <row r="8" spans="1:13" ht="12.75" customHeight="1" x14ac:dyDescent="0.25">
      <c r="A8" s="384" t="s">
        <v>7</v>
      </c>
      <c r="B8" s="419" t="s">
        <v>14</v>
      </c>
      <c r="C8" s="385" t="s">
        <v>40</v>
      </c>
      <c r="D8" s="385" t="str">
        <f ca="1">IFERROR(OFFSET(Camp_List[P_Code],MATCH(Data_Vulnerability_t[[#This Row],[Camp Name]],Camp_List[Camp Name],0)-1,0,1,1),"")</f>
        <v>MMR012CMP016</v>
      </c>
      <c r="E8" s="395" t="s">
        <v>937</v>
      </c>
      <c r="F8" s="177">
        <v>33</v>
      </c>
      <c r="G8" s="378" t="s">
        <v>643</v>
      </c>
      <c r="H8" s="396">
        <v>42100</v>
      </c>
      <c r="J8" s="710" t="s">
        <v>937</v>
      </c>
      <c r="K8" s="320">
        <v>843</v>
      </c>
      <c r="M8"/>
    </row>
    <row r="9" spans="1:13" ht="12.75" customHeight="1" x14ac:dyDescent="0.25">
      <c r="A9" s="384" t="s">
        <v>7</v>
      </c>
      <c r="B9" s="419" t="s">
        <v>14</v>
      </c>
      <c r="C9" s="385" t="s">
        <v>40</v>
      </c>
      <c r="D9" s="385" t="str">
        <f ca="1">IFERROR(OFFSET(Camp_List[P_Code],MATCH(Data_Vulnerability_t[[#This Row],[Camp Name]],Camp_List[Camp Name],0)-1,0,1,1),"")</f>
        <v>MMR012CMP016</v>
      </c>
      <c r="E9" s="395" t="s">
        <v>935</v>
      </c>
      <c r="F9" s="177"/>
      <c r="G9" s="378" t="s">
        <v>643</v>
      </c>
      <c r="H9" s="396">
        <v>42100</v>
      </c>
      <c r="J9" s="711" t="s">
        <v>935</v>
      </c>
      <c r="K9" s="321">
        <v>1014</v>
      </c>
      <c r="M9"/>
    </row>
    <row r="10" spans="1:13" ht="12.75" customHeight="1" x14ac:dyDescent="0.25">
      <c r="A10" s="384" t="s">
        <v>7</v>
      </c>
      <c r="B10" s="419" t="s">
        <v>14</v>
      </c>
      <c r="C10" s="385" t="s">
        <v>39</v>
      </c>
      <c r="D10" s="385" t="str">
        <f ca="1">IFERROR(OFFSET(Camp_List[P_Code],MATCH(Data_Vulnerability_t[[#This Row],[Camp Name]],Camp_List[Camp Name],0)-1,0,1,1),"")</f>
        <v>MMR012CMP015</v>
      </c>
      <c r="E10" s="395" t="s">
        <v>932</v>
      </c>
      <c r="F10" s="177">
        <v>0</v>
      </c>
      <c r="G10" s="378" t="s">
        <v>643</v>
      </c>
      <c r="H10" s="396">
        <v>42064</v>
      </c>
      <c r="J10" s="711" t="s">
        <v>215</v>
      </c>
      <c r="K10" s="322">
        <v>9176</v>
      </c>
      <c r="M10"/>
    </row>
    <row r="11" spans="1:13" ht="12.75" customHeight="1" x14ac:dyDescent="0.25">
      <c r="A11" s="384" t="s">
        <v>7</v>
      </c>
      <c r="B11" s="419" t="s">
        <v>14</v>
      </c>
      <c r="C11" s="385" t="s">
        <v>39</v>
      </c>
      <c r="D11" s="385" t="str">
        <f ca="1">IFERROR(OFFSET(Camp_List[P_Code],MATCH(Data_Vulnerability_t[[#This Row],[Camp Name]],Camp_List[Camp Name],0)-1,0,1,1),"")</f>
        <v>MMR012CMP015</v>
      </c>
      <c r="E11" s="395" t="s">
        <v>756</v>
      </c>
      <c r="F11" s="177">
        <v>0</v>
      </c>
      <c r="G11" s="378" t="s">
        <v>643</v>
      </c>
      <c r="H11" s="396">
        <v>42064</v>
      </c>
      <c r="J11"/>
      <c r="K11"/>
      <c r="M11"/>
    </row>
    <row r="12" spans="1:13" ht="12.75" customHeight="1" x14ac:dyDescent="0.25">
      <c r="A12" s="384" t="s">
        <v>7</v>
      </c>
      <c r="B12" s="419" t="s">
        <v>14</v>
      </c>
      <c r="C12" s="385" t="s">
        <v>39</v>
      </c>
      <c r="D12" s="385" t="str">
        <f ca="1">IFERROR(OFFSET(Camp_List[P_Code],MATCH(Data_Vulnerability_t[[#This Row],[Camp Name]],Camp_List[Camp Name],0)-1,0,1,1),"")</f>
        <v>MMR012CMP015</v>
      </c>
      <c r="E12" s="395" t="s">
        <v>755</v>
      </c>
      <c r="F12" s="177">
        <v>0</v>
      </c>
      <c r="G12" s="378" t="s">
        <v>643</v>
      </c>
      <c r="H12" s="396">
        <v>42064</v>
      </c>
      <c r="J12"/>
      <c r="K12"/>
      <c r="M12"/>
    </row>
    <row r="13" spans="1:13" ht="12.75" customHeight="1" x14ac:dyDescent="0.25">
      <c r="A13" s="384" t="s">
        <v>7</v>
      </c>
      <c r="B13" s="419" t="s">
        <v>14</v>
      </c>
      <c r="C13" s="385" t="s">
        <v>39</v>
      </c>
      <c r="D13" s="385" t="str">
        <f ca="1">IFERROR(OFFSET(Camp_List[P_Code],MATCH(Data_Vulnerability_t[[#This Row],[Camp Name]],Camp_List[Camp Name],0)-1,0,1,1),"")</f>
        <v>MMR012CMP015</v>
      </c>
      <c r="E13" s="395" t="s">
        <v>933</v>
      </c>
      <c r="F13" s="177">
        <v>1</v>
      </c>
      <c r="G13" s="378" t="s">
        <v>643</v>
      </c>
      <c r="H13" s="396">
        <v>42064</v>
      </c>
      <c r="J13"/>
      <c r="K13"/>
      <c r="M13"/>
    </row>
    <row r="14" spans="1:13" ht="12.75" customHeight="1" x14ac:dyDescent="0.25">
      <c r="A14" s="384" t="s">
        <v>7</v>
      </c>
      <c r="B14" s="419" t="s">
        <v>14</v>
      </c>
      <c r="C14" s="385" t="s">
        <v>39</v>
      </c>
      <c r="D14" s="385" t="str">
        <f ca="1">IFERROR(OFFSET(Camp_List[P_Code],MATCH(Data_Vulnerability_t[[#This Row],[Camp Name]],Camp_List[Camp Name],0)-1,0,1,1),"")</f>
        <v>MMR012CMP015</v>
      </c>
      <c r="E14" s="395" t="s">
        <v>936</v>
      </c>
      <c r="F14" s="177">
        <v>11</v>
      </c>
      <c r="G14" s="378" t="s">
        <v>643</v>
      </c>
      <c r="H14" s="396">
        <v>42064</v>
      </c>
      <c r="J14"/>
      <c r="K14"/>
      <c r="M14"/>
    </row>
    <row r="15" spans="1:13" ht="12.75" customHeight="1" x14ac:dyDescent="0.25">
      <c r="A15" s="384" t="s">
        <v>7</v>
      </c>
      <c r="B15" s="419" t="s">
        <v>14</v>
      </c>
      <c r="C15" s="385" t="s">
        <v>39</v>
      </c>
      <c r="D15" s="385" t="str">
        <f ca="1">IFERROR(OFFSET(Camp_List[P_Code],MATCH(Data_Vulnerability_t[[#This Row],[Camp Name]],Camp_List[Camp Name],0)-1,0,1,1),"")</f>
        <v>MMR012CMP015</v>
      </c>
      <c r="E15" s="395" t="s">
        <v>934</v>
      </c>
      <c r="F15" s="177">
        <v>0</v>
      </c>
      <c r="G15" s="378" t="s">
        <v>643</v>
      </c>
      <c r="H15" s="396">
        <v>42064</v>
      </c>
      <c r="J15"/>
      <c r="K15"/>
      <c r="L15"/>
      <c r="M15"/>
    </row>
    <row r="16" spans="1:13" ht="12.75" customHeight="1" x14ac:dyDescent="0.25">
      <c r="A16" s="384" t="s">
        <v>7</v>
      </c>
      <c r="B16" s="419" t="s">
        <v>14</v>
      </c>
      <c r="C16" s="385" t="s">
        <v>39</v>
      </c>
      <c r="D16" s="385" t="str">
        <f ca="1">IFERROR(OFFSET(Camp_List[P_Code],MATCH(Data_Vulnerability_t[[#This Row],[Camp Name]],Camp_List[Camp Name],0)-1,0,1,1),"")</f>
        <v>MMR012CMP015</v>
      </c>
      <c r="E16" s="395" t="s">
        <v>937</v>
      </c>
      <c r="F16" s="177">
        <v>4</v>
      </c>
      <c r="G16" s="378" t="s">
        <v>643</v>
      </c>
      <c r="H16" s="396">
        <v>42064</v>
      </c>
      <c r="J16"/>
      <c r="K16"/>
      <c r="L16"/>
      <c r="M16"/>
    </row>
    <row r="17" spans="1:13" ht="12.75" customHeight="1" x14ac:dyDescent="0.25">
      <c r="A17" s="384" t="s">
        <v>7</v>
      </c>
      <c r="B17" s="419" t="s">
        <v>14</v>
      </c>
      <c r="C17" s="385" t="s">
        <v>39</v>
      </c>
      <c r="D17" s="385" t="str">
        <f ca="1">IFERROR(OFFSET(Camp_List[P_Code],MATCH(Data_Vulnerability_t[[#This Row],[Camp Name]],Camp_List[Camp Name],0)-1,0,1,1),"")</f>
        <v>MMR012CMP015</v>
      </c>
      <c r="E17" s="395" t="s">
        <v>935</v>
      </c>
      <c r="F17" s="177">
        <v>2</v>
      </c>
      <c r="G17" s="378" t="s">
        <v>643</v>
      </c>
      <c r="H17" s="396">
        <v>42064</v>
      </c>
      <c r="J17"/>
      <c r="K17"/>
      <c r="L17"/>
      <c r="M17"/>
    </row>
    <row r="18" spans="1:13" ht="12.75" customHeight="1" x14ac:dyDescent="0.25">
      <c r="A18" s="384" t="s">
        <v>7</v>
      </c>
      <c r="B18" s="419" t="s">
        <v>19</v>
      </c>
      <c r="C18" s="385" t="s">
        <v>61</v>
      </c>
      <c r="D18" s="385" t="str">
        <f ca="1">IFERROR(OFFSET(Camp_List[P_Code],MATCH(Data_Vulnerability_t[[#This Row],[Camp Name]],Camp_List[Camp Name],0)-1,0,1,1),"")</f>
        <v>MMR012CMP039</v>
      </c>
      <c r="E18" s="395" t="s">
        <v>932</v>
      </c>
      <c r="F18" s="177">
        <v>1</v>
      </c>
      <c r="G18" s="378" t="s">
        <v>643</v>
      </c>
      <c r="H18" s="396">
        <v>42086</v>
      </c>
      <c r="J18"/>
      <c r="K18"/>
      <c r="L18"/>
      <c r="M18"/>
    </row>
    <row r="19" spans="1:13" ht="12.75" customHeight="1" x14ac:dyDescent="0.25">
      <c r="A19" s="384" t="s">
        <v>7</v>
      </c>
      <c r="B19" s="397" t="s">
        <v>19</v>
      </c>
      <c r="C19" s="385" t="s">
        <v>61</v>
      </c>
      <c r="D19" s="385" t="str">
        <f ca="1">IFERROR(OFFSET(Camp_List[P_Code],MATCH(Data_Vulnerability_t[[#This Row],[Camp Name]],Camp_List[Camp Name],0)-1,0,1,1),"")</f>
        <v>MMR012CMP039</v>
      </c>
      <c r="E19" s="395" t="s">
        <v>756</v>
      </c>
      <c r="F19" s="372">
        <v>10</v>
      </c>
      <c r="G19" s="378" t="s">
        <v>643</v>
      </c>
      <c r="H19" s="396">
        <v>42086</v>
      </c>
      <c r="J19"/>
      <c r="K19"/>
      <c r="L19"/>
      <c r="M19"/>
    </row>
    <row r="20" spans="1:13" ht="12.75" customHeight="1" x14ac:dyDescent="0.25">
      <c r="A20" s="384" t="s">
        <v>7</v>
      </c>
      <c r="B20" s="397" t="s">
        <v>19</v>
      </c>
      <c r="C20" s="385" t="s">
        <v>61</v>
      </c>
      <c r="D20" s="385" t="str">
        <f ca="1">IFERROR(OFFSET(Camp_List[P_Code],MATCH(Data_Vulnerability_t[[#This Row],[Camp Name]],Camp_List[Camp Name],0)-1,0,1,1),"")</f>
        <v>MMR012CMP039</v>
      </c>
      <c r="E20" s="395" t="s">
        <v>755</v>
      </c>
      <c r="F20" s="372">
        <v>5</v>
      </c>
      <c r="G20" s="378" t="s">
        <v>643</v>
      </c>
      <c r="H20" s="396">
        <v>42086</v>
      </c>
      <c r="J20"/>
      <c r="K20"/>
      <c r="L20"/>
    </row>
    <row r="21" spans="1:13" ht="12.75" customHeight="1" x14ac:dyDescent="0.25">
      <c r="A21" s="384" t="s">
        <v>7</v>
      </c>
      <c r="B21" s="419" t="s">
        <v>19</v>
      </c>
      <c r="C21" s="385" t="s">
        <v>61</v>
      </c>
      <c r="D21" s="385" t="str">
        <f ca="1">IFERROR(OFFSET(Camp_List[P_Code],MATCH(Data_Vulnerability_t[[#This Row],[Camp Name]],Camp_List[Camp Name],0)-1,0,1,1),"")</f>
        <v>MMR012CMP039</v>
      </c>
      <c r="E21" s="395" t="s">
        <v>933</v>
      </c>
      <c r="F21" s="177">
        <v>19</v>
      </c>
      <c r="G21" s="378" t="s">
        <v>643</v>
      </c>
      <c r="H21" s="396">
        <v>42086</v>
      </c>
      <c r="J21"/>
      <c r="K21"/>
      <c r="L21"/>
    </row>
    <row r="22" spans="1:13" ht="12.75" customHeight="1" x14ac:dyDescent="0.25">
      <c r="A22" s="384" t="s">
        <v>7</v>
      </c>
      <c r="B22" s="419" t="s">
        <v>19</v>
      </c>
      <c r="C22" s="385" t="s">
        <v>61</v>
      </c>
      <c r="D22" s="385" t="str">
        <f ca="1">IFERROR(OFFSET(Camp_List[P_Code],MATCH(Data_Vulnerability_t[[#This Row],[Camp Name]],Camp_List[Camp Name],0)-1,0,1,1),"")</f>
        <v>MMR012CMP039</v>
      </c>
      <c r="E22" s="395" t="s">
        <v>936</v>
      </c>
      <c r="F22" s="177">
        <v>206</v>
      </c>
      <c r="G22" s="378" t="s">
        <v>643</v>
      </c>
      <c r="H22" s="396">
        <v>42086</v>
      </c>
      <c r="J22"/>
      <c r="K22"/>
      <c r="L22"/>
    </row>
    <row r="23" spans="1:13" ht="12.75" customHeight="1" x14ac:dyDescent="0.25">
      <c r="A23" s="384" t="s">
        <v>7</v>
      </c>
      <c r="B23" s="419" t="s">
        <v>19</v>
      </c>
      <c r="C23" s="385" t="s">
        <v>61</v>
      </c>
      <c r="D23" s="465" t="str">
        <f ca="1">IFERROR(OFFSET(Camp_List[P_Code],MATCH(Data_Vulnerability_t[[#This Row],[Camp Name]],Camp_List[Camp Name],0)-1,0,1,1),"")</f>
        <v>MMR012CMP039</v>
      </c>
      <c r="E23" s="395" t="s">
        <v>934</v>
      </c>
      <c r="F23" s="467">
        <v>11</v>
      </c>
      <c r="G23" s="378" t="s">
        <v>643</v>
      </c>
      <c r="H23" s="396">
        <v>42086</v>
      </c>
      <c r="J23"/>
      <c r="K23"/>
      <c r="L23"/>
    </row>
    <row r="24" spans="1:13" ht="12.75" customHeight="1" x14ac:dyDescent="0.25">
      <c r="A24" s="384" t="s">
        <v>7</v>
      </c>
      <c r="B24" s="419" t="s">
        <v>19</v>
      </c>
      <c r="C24" s="385" t="s">
        <v>61</v>
      </c>
      <c r="D24" s="465" t="str">
        <f ca="1">IFERROR(OFFSET(Camp_List[P_Code],MATCH(Data_Vulnerability_t[[#This Row],[Camp Name]],Camp_List[Camp Name],0)-1,0,1,1),"")</f>
        <v>MMR012CMP039</v>
      </c>
      <c r="E24" s="395" t="s">
        <v>937</v>
      </c>
      <c r="F24" s="467">
        <v>32</v>
      </c>
      <c r="G24" s="378" t="s">
        <v>643</v>
      </c>
      <c r="H24" s="396">
        <v>42086</v>
      </c>
      <c r="J24"/>
      <c r="K24"/>
      <c r="L24"/>
    </row>
    <row r="25" spans="1:13" ht="12.75" customHeight="1" x14ac:dyDescent="0.25">
      <c r="A25" s="384" t="s">
        <v>7</v>
      </c>
      <c r="B25" s="419" t="s">
        <v>19</v>
      </c>
      <c r="C25" s="385" t="s">
        <v>61</v>
      </c>
      <c r="D25" s="385" t="str">
        <f ca="1">IFERROR(OFFSET(Camp_List[P_Code],MATCH(Data_Vulnerability_t[[#This Row],[Camp Name]],Camp_List[Camp Name],0)-1,0,1,1),"")</f>
        <v>MMR012CMP039</v>
      </c>
      <c r="E25" s="395" t="s">
        <v>935</v>
      </c>
      <c r="F25" s="177">
        <v>6</v>
      </c>
      <c r="G25" s="378" t="s">
        <v>643</v>
      </c>
      <c r="H25" s="396">
        <v>42086</v>
      </c>
      <c r="J25"/>
      <c r="K25"/>
      <c r="L25"/>
    </row>
    <row r="26" spans="1:13" ht="12.75" customHeight="1" x14ac:dyDescent="0.25">
      <c r="A26" s="384" t="s">
        <v>7</v>
      </c>
      <c r="B26" s="419" t="s">
        <v>19</v>
      </c>
      <c r="C26" s="385" t="s">
        <v>650</v>
      </c>
      <c r="D26" s="385" t="str">
        <f ca="1">IFERROR(OFFSET(Camp_List[P_Code],MATCH(Data_Vulnerability_t[[#This Row],[Camp Name]],Camp_List[Camp Name],0)-1,0,1,1),"")</f>
        <v>MMR012CMP113</v>
      </c>
      <c r="E26" s="395" t="s">
        <v>932</v>
      </c>
      <c r="F26" s="177">
        <v>20</v>
      </c>
      <c r="G26" s="378" t="s">
        <v>291</v>
      </c>
      <c r="H26" s="396">
        <v>42087</v>
      </c>
      <c r="J26"/>
      <c r="K26"/>
      <c r="L26"/>
    </row>
    <row r="27" spans="1:13" ht="12.75" customHeight="1" x14ac:dyDescent="0.25">
      <c r="A27" s="384" t="s">
        <v>7</v>
      </c>
      <c r="B27" s="419" t="s">
        <v>19</v>
      </c>
      <c r="C27" s="385" t="s">
        <v>650</v>
      </c>
      <c r="D27" s="385" t="str">
        <f ca="1">IFERROR(OFFSET(Camp_List[P_Code],MATCH(Data_Vulnerability_t[[#This Row],[Camp Name]],Camp_List[Camp Name],0)-1,0,1,1),"")</f>
        <v>MMR012CMP113</v>
      </c>
      <c r="E27" s="395" t="s">
        <v>756</v>
      </c>
      <c r="F27" s="177">
        <v>14</v>
      </c>
      <c r="G27" s="378" t="s">
        <v>291</v>
      </c>
      <c r="H27" s="396">
        <v>42087</v>
      </c>
      <c r="J27"/>
      <c r="K27"/>
      <c r="L27"/>
    </row>
    <row r="28" spans="1:13" ht="12.75" customHeight="1" x14ac:dyDescent="0.25">
      <c r="A28" s="384" t="s">
        <v>7</v>
      </c>
      <c r="B28" s="419" t="s">
        <v>19</v>
      </c>
      <c r="C28" s="385" t="s">
        <v>650</v>
      </c>
      <c r="D28" s="385" t="str">
        <f ca="1">IFERROR(OFFSET(Camp_List[P_Code],MATCH(Data_Vulnerability_t[[#This Row],[Camp Name]],Camp_List[Camp Name],0)-1,0,1,1),"")</f>
        <v>MMR012CMP113</v>
      </c>
      <c r="E28" s="395" t="s">
        <v>755</v>
      </c>
      <c r="F28" s="177">
        <v>12</v>
      </c>
      <c r="G28" s="378" t="s">
        <v>291</v>
      </c>
      <c r="H28" s="396">
        <v>42087</v>
      </c>
      <c r="J28"/>
      <c r="K28"/>
      <c r="L28"/>
    </row>
    <row r="29" spans="1:13" ht="12.75" customHeight="1" x14ac:dyDescent="0.25">
      <c r="A29" s="384" t="s">
        <v>7</v>
      </c>
      <c r="B29" s="419" t="s">
        <v>19</v>
      </c>
      <c r="C29" s="385" t="s">
        <v>650</v>
      </c>
      <c r="D29" s="385" t="str">
        <f ca="1">IFERROR(OFFSET(Camp_List[P_Code],MATCH(Data_Vulnerability_t[[#This Row],[Camp Name]],Camp_List[Camp Name],0)-1,0,1,1),"")</f>
        <v>MMR012CMP113</v>
      </c>
      <c r="E29" s="395" t="s">
        <v>933</v>
      </c>
      <c r="F29" s="177">
        <v>124</v>
      </c>
      <c r="G29" s="378" t="s">
        <v>291</v>
      </c>
      <c r="H29" s="396">
        <v>42087</v>
      </c>
      <c r="K29"/>
      <c r="L29"/>
    </row>
    <row r="30" spans="1:13" ht="12.75" customHeight="1" x14ac:dyDescent="0.25">
      <c r="A30" s="384" t="s">
        <v>7</v>
      </c>
      <c r="B30" s="419" t="s">
        <v>19</v>
      </c>
      <c r="C30" s="385" t="s">
        <v>650</v>
      </c>
      <c r="D30" s="385" t="str">
        <f ca="1">IFERROR(OFFSET(Camp_List[P_Code],MATCH(Data_Vulnerability_t[[#This Row],[Camp Name]],Camp_List[Camp Name],0)-1,0,1,1),"")</f>
        <v>MMR012CMP113</v>
      </c>
      <c r="E30" s="395" t="s">
        <v>936</v>
      </c>
      <c r="F30" s="177">
        <v>42</v>
      </c>
      <c r="G30" s="378" t="s">
        <v>291</v>
      </c>
      <c r="H30" s="396">
        <v>42087</v>
      </c>
      <c r="K30"/>
      <c r="L30"/>
    </row>
    <row r="31" spans="1:13" ht="12.75" customHeight="1" x14ac:dyDescent="0.25">
      <c r="A31" s="384" t="s">
        <v>7</v>
      </c>
      <c r="B31" s="419" t="s">
        <v>19</v>
      </c>
      <c r="C31" s="385" t="s">
        <v>650</v>
      </c>
      <c r="D31" s="385" t="str">
        <f ca="1">IFERROR(OFFSET(Camp_List[P_Code],MATCH(Data_Vulnerability_t[[#This Row],[Camp Name]],Camp_List[Camp Name],0)-1,0,1,1),"")</f>
        <v>MMR012CMP113</v>
      </c>
      <c r="E31" s="395" t="s">
        <v>934</v>
      </c>
      <c r="F31" s="177">
        <v>15</v>
      </c>
      <c r="G31" s="378" t="s">
        <v>291</v>
      </c>
      <c r="H31" s="396">
        <v>42087</v>
      </c>
      <c r="K31"/>
      <c r="L31"/>
    </row>
    <row r="32" spans="1:13" ht="12.75" customHeight="1" x14ac:dyDescent="0.25">
      <c r="A32" s="384" t="s">
        <v>7</v>
      </c>
      <c r="B32" s="419" t="s">
        <v>19</v>
      </c>
      <c r="C32" s="385" t="s">
        <v>650</v>
      </c>
      <c r="D32" s="385" t="str">
        <f ca="1">IFERROR(OFFSET(Camp_List[P_Code],MATCH(Data_Vulnerability_t[[#This Row],[Camp Name]],Camp_List[Camp Name],0)-1,0,1,1),"")</f>
        <v>MMR012CMP113</v>
      </c>
      <c r="E32" s="395" t="s">
        <v>937</v>
      </c>
      <c r="F32" s="177">
        <v>28</v>
      </c>
      <c r="G32" s="378" t="s">
        <v>291</v>
      </c>
      <c r="H32" s="396">
        <v>42087</v>
      </c>
      <c r="K32"/>
      <c r="L32"/>
    </row>
    <row r="33" spans="1:12" ht="12.75" customHeight="1" x14ac:dyDescent="0.25">
      <c r="A33" s="384" t="s">
        <v>7</v>
      </c>
      <c r="B33" s="419" t="s">
        <v>19</v>
      </c>
      <c r="C33" s="385" t="s">
        <v>650</v>
      </c>
      <c r="D33" s="385" t="str">
        <f ca="1">IFERROR(OFFSET(Camp_List[P_Code],MATCH(Data_Vulnerability_t[[#This Row],[Camp Name]],Camp_List[Camp Name],0)-1,0,1,1),"")</f>
        <v>MMR012CMP113</v>
      </c>
      <c r="E33" s="395" t="s">
        <v>935</v>
      </c>
      <c r="F33" s="177">
        <v>40</v>
      </c>
      <c r="G33" s="378" t="s">
        <v>291</v>
      </c>
      <c r="H33" s="396">
        <v>42087</v>
      </c>
      <c r="K33"/>
      <c r="L33"/>
    </row>
    <row r="34" spans="1:12" ht="12.75" customHeight="1" x14ac:dyDescent="0.25">
      <c r="A34" s="384" t="s">
        <v>7</v>
      </c>
      <c r="B34" s="419" t="s">
        <v>19</v>
      </c>
      <c r="C34" s="385" t="s">
        <v>651</v>
      </c>
      <c r="D34" s="385" t="str">
        <f ca="1">IFERROR(OFFSET(Camp_List[P_Code],MATCH(Data_Vulnerability_t[[#This Row],[Camp Name]],Camp_List[Camp Name],0)-1,0,1,1),"")</f>
        <v>MMR012CMP114</v>
      </c>
      <c r="E34" s="395" t="s">
        <v>932</v>
      </c>
      <c r="F34" s="177">
        <v>45</v>
      </c>
      <c r="G34" s="378" t="s">
        <v>291</v>
      </c>
      <c r="H34" s="396">
        <v>42082</v>
      </c>
      <c r="K34"/>
      <c r="L34"/>
    </row>
    <row r="35" spans="1:12" ht="12.75" customHeight="1" x14ac:dyDescent="0.25">
      <c r="A35" s="384" t="s">
        <v>7</v>
      </c>
      <c r="B35" s="419" t="s">
        <v>19</v>
      </c>
      <c r="C35" s="385" t="s">
        <v>651</v>
      </c>
      <c r="D35" s="385" t="str">
        <f ca="1">IFERROR(OFFSET(Camp_List[P_Code],MATCH(Data_Vulnerability_t[[#This Row],[Camp Name]],Camp_List[Camp Name],0)-1,0,1,1),"")</f>
        <v>MMR012CMP114</v>
      </c>
      <c r="E35" s="395" t="s">
        <v>756</v>
      </c>
      <c r="F35" s="177">
        <v>14</v>
      </c>
      <c r="G35" s="378" t="s">
        <v>291</v>
      </c>
      <c r="H35" s="396">
        <v>42082</v>
      </c>
      <c r="K35"/>
      <c r="L35"/>
    </row>
    <row r="36" spans="1:12" ht="12.75" customHeight="1" x14ac:dyDescent="0.25">
      <c r="A36" s="384" t="s">
        <v>7</v>
      </c>
      <c r="B36" s="419" t="s">
        <v>19</v>
      </c>
      <c r="C36" s="385" t="s">
        <v>651</v>
      </c>
      <c r="D36" s="385" t="str">
        <f ca="1">IFERROR(OFFSET(Camp_List[P_Code],MATCH(Data_Vulnerability_t[[#This Row],[Camp Name]],Camp_List[Camp Name],0)-1,0,1,1),"")</f>
        <v>MMR012CMP114</v>
      </c>
      <c r="E36" s="395" t="s">
        <v>755</v>
      </c>
      <c r="F36" s="177">
        <v>45</v>
      </c>
      <c r="G36" s="378" t="s">
        <v>291</v>
      </c>
      <c r="H36" s="396">
        <v>42082</v>
      </c>
      <c r="K36"/>
      <c r="L36"/>
    </row>
    <row r="37" spans="1:12" ht="12.75" customHeight="1" x14ac:dyDescent="0.25">
      <c r="A37" s="384" t="s">
        <v>7</v>
      </c>
      <c r="B37" s="419" t="s">
        <v>19</v>
      </c>
      <c r="C37" s="385" t="s">
        <v>651</v>
      </c>
      <c r="D37" s="385" t="str">
        <f ca="1">IFERROR(OFFSET(Camp_List[P_Code],MATCH(Data_Vulnerability_t[[#This Row],[Camp Name]],Camp_List[Camp Name],0)-1,0,1,1),"")</f>
        <v>MMR012CMP114</v>
      </c>
      <c r="E37" s="395" t="s">
        <v>933</v>
      </c>
      <c r="F37" s="177">
        <v>185</v>
      </c>
      <c r="G37" s="378" t="s">
        <v>291</v>
      </c>
      <c r="H37" s="396">
        <v>42082</v>
      </c>
      <c r="K37"/>
      <c r="L37"/>
    </row>
    <row r="38" spans="1:12" ht="12.75" customHeight="1" x14ac:dyDescent="0.25">
      <c r="A38" s="384" t="s">
        <v>7</v>
      </c>
      <c r="B38" s="419" t="s">
        <v>19</v>
      </c>
      <c r="C38" s="385" t="s">
        <v>651</v>
      </c>
      <c r="D38" s="385" t="str">
        <f ca="1">IFERROR(OFFSET(Camp_List[P_Code],MATCH(Data_Vulnerability_t[[#This Row],[Camp Name]],Camp_List[Camp Name],0)-1,0,1,1),"")</f>
        <v>MMR012CMP114</v>
      </c>
      <c r="E38" s="395" t="s">
        <v>936</v>
      </c>
      <c r="F38" s="177">
        <v>21</v>
      </c>
      <c r="G38" s="378" t="s">
        <v>291</v>
      </c>
      <c r="H38" s="396">
        <v>42082</v>
      </c>
      <c r="K38"/>
      <c r="L38"/>
    </row>
    <row r="39" spans="1:12" ht="12.75" customHeight="1" x14ac:dyDescent="0.25">
      <c r="A39" s="384" t="s">
        <v>7</v>
      </c>
      <c r="B39" s="419" t="s">
        <v>19</v>
      </c>
      <c r="C39" s="385" t="s">
        <v>651</v>
      </c>
      <c r="D39" s="385" t="str">
        <f ca="1">IFERROR(OFFSET(Camp_List[P_Code],MATCH(Data_Vulnerability_t[[#This Row],[Camp Name]],Camp_List[Camp Name],0)-1,0,1,1),"")</f>
        <v>MMR012CMP114</v>
      </c>
      <c r="E39" s="395" t="s">
        <v>934</v>
      </c>
      <c r="F39" s="177">
        <v>26</v>
      </c>
      <c r="G39" s="378" t="s">
        <v>291</v>
      </c>
      <c r="H39" s="396">
        <v>42082</v>
      </c>
      <c r="K39"/>
      <c r="L39"/>
    </row>
    <row r="40" spans="1:12" ht="12.75" customHeight="1" x14ac:dyDescent="0.25">
      <c r="A40" s="384" t="s">
        <v>7</v>
      </c>
      <c r="B40" s="419" t="s">
        <v>19</v>
      </c>
      <c r="C40" s="385" t="s">
        <v>651</v>
      </c>
      <c r="D40" s="385" t="str">
        <f ca="1">IFERROR(OFFSET(Camp_List[P_Code],MATCH(Data_Vulnerability_t[[#This Row],[Camp Name]],Camp_List[Camp Name],0)-1,0,1,1),"")</f>
        <v>MMR012CMP114</v>
      </c>
      <c r="E40" s="395" t="s">
        <v>937</v>
      </c>
      <c r="F40" s="177">
        <v>45</v>
      </c>
      <c r="G40" s="378" t="s">
        <v>291</v>
      </c>
      <c r="H40" s="396">
        <v>42082</v>
      </c>
      <c r="K40"/>
      <c r="L40"/>
    </row>
    <row r="41" spans="1:12" ht="12.75" customHeight="1" x14ac:dyDescent="0.25">
      <c r="A41" s="384" t="s">
        <v>7</v>
      </c>
      <c r="B41" s="419" t="s">
        <v>19</v>
      </c>
      <c r="C41" s="385" t="s">
        <v>651</v>
      </c>
      <c r="D41" s="442" t="str">
        <f ca="1">IFERROR(OFFSET(Camp_List[P_Code],MATCH(Data_Vulnerability_t[[#This Row],[Camp Name]],Camp_List[Camp Name],0)-1,0,1,1),"")</f>
        <v>MMR012CMP114</v>
      </c>
      <c r="E41" s="395" t="s">
        <v>935</v>
      </c>
      <c r="F41" s="177">
        <v>55</v>
      </c>
      <c r="G41" s="378" t="s">
        <v>291</v>
      </c>
      <c r="H41" s="396">
        <v>42082</v>
      </c>
      <c r="K41" s="102"/>
      <c r="L41" s="102"/>
    </row>
    <row r="42" spans="1:12" ht="12.75" customHeight="1" x14ac:dyDescent="0.25">
      <c r="A42" s="384" t="s">
        <v>7</v>
      </c>
      <c r="B42" s="419" t="s">
        <v>19</v>
      </c>
      <c r="C42" s="385" t="s">
        <v>63</v>
      </c>
      <c r="D42" s="442" t="str">
        <f ca="1">IFERROR(OFFSET(Camp_List[P_Code],MATCH(Data_Vulnerability_t[[#This Row],[Camp Name]],Camp_List[Camp Name],0)-1,0,1,1),"")</f>
        <v>MMR012CMP041</v>
      </c>
      <c r="E42" s="395" t="s">
        <v>932</v>
      </c>
      <c r="F42" s="177">
        <v>115</v>
      </c>
      <c r="G42" s="378" t="s">
        <v>291</v>
      </c>
      <c r="H42" s="396">
        <v>42082</v>
      </c>
      <c r="K42" s="102"/>
      <c r="L42" s="102"/>
    </row>
    <row r="43" spans="1:12" ht="12.75" customHeight="1" x14ac:dyDescent="0.25">
      <c r="A43" s="384" t="s">
        <v>7</v>
      </c>
      <c r="B43" s="419" t="s">
        <v>19</v>
      </c>
      <c r="C43" s="385" t="s">
        <v>63</v>
      </c>
      <c r="D43" s="385" t="str">
        <f ca="1">IFERROR(OFFSET(Camp_List[P_Code],MATCH(Data_Vulnerability_t[[#This Row],[Camp Name]],Camp_List[Camp Name],0)-1,0,1,1),"")</f>
        <v>MMR012CMP041</v>
      </c>
      <c r="E43" s="395" t="s">
        <v>756</v>
      </c>
      <c r="F43" s="177">
        <v>40</v>
      </c>
      <c r="G43" s="378" t="s">
        <v>291</v>
      </c>
      <c r="H43" s="396">
        <v>42082</v>
      </c>
      <c r="K43"/>
      <c r="L43"/>
    </row>
    <row r="44" spans="1:12" ht="12.75" customHeight="1" x14ac:dyDescent="0.25">
      <c r="A44" s="384" t="s">
        <v>7</v>
      </c>
      <c r="B44" s="419" t="s">
        <v>19</v>
      </c>
      <c r="C44" s="385" t="s">
        <v>63</v>
      </c>
      <c r="D44" s="385" t="str">
        <f ca="1">IFERROR(OFFSET(Camp_List[P_Code],MATCH(Data_Vulnerability_t[[#This Row],[Camp Name]],Camp_List[Camp Name],0)-1,0,1,1),"")</f>
        <v>MMR012CMP041</v>
      </c>
      <c r="E44" s="395" t="s">
        <v>755</v>
      </c>
      <c r="F44" s="177">
        <v>32</v>
      </c>
      <c r="G44" s="378" t="s">
        <v>291</v>
      </c>
      <c r="H44" s="396">
        <v>42082</v>
      </c>
      <c r="K44"/>
      <c r="L44"/>
    </row>
    <row r="45" spans="1:12" ht="12.75" customHeight="1" x14ac:dyDescent="0.25">
      <c r="A45" s="384" t="s">
        <v>7</v>
      </c>
      <c r="B45" s="419" t="s">
        <v>19</v>
      </c>
      <c r="C45" s="385" t="s">
        <v>63</v>
      </c>
      <c r="D45" s="385" t="str">
        <f ca="1">IFERROR(OFFSET(Camp_List[P_Code],MATCH(Data_Vulnerability_t[[#This Row],[Camp Name]],Camp_List[Camp Name],0)-1,0,1,1),"")</f>
        <v>MMR012CMP041</v>
      </c>
      <c r="E45" s="395" t="s">
        <v>933</v>
      </c>
      <c r="F45" s="177">
        <v>229</v>
      </c>
      <c r="G45" s="378" t="s">
        <v>291</v>
      </c>
      <c r="H45" s="396">
        <v>42082</v>
      </c>
      <c r="K45"/>
      <c r="L45"/>
    </row>
    <row r="46" spans="1:12" ht="12.75" customHeight="1" x14ac:dyDescent="0.25">
      <c r="A46" s="384" t="s">
        <v>7</v>
      </c>
      <c r="B46" s="419" t="s">
        <v>19</v>
      </c>
      <c r="C46" s="385" t="s">
        <v>63</v>
      </c>
      <c r="D46" s="385" t="str">
        <f ca="1">IFERROR(OFFSET(Camp_List[P_Code],MATCH(Data_Vulnerability_t[[#This Row],[Camp Name]],Camp_List[Camp Name],0)-1,0,1,1),"")</f>
        <v>MMR012CMP041</v>
      </c>
      <c r="E46" s="395" t="s">
        <v>936</v>
      </c>
      <c r="F46" s="177">
        <v>52</v>
      </c>
      <c r="G46" s="378" t="s">
        <v>291</v>
      </c>
      <c r="H46" s="396">
        <v>42082</v>
      </c>
      <c r="K46"/>
      <c r="L46"/>
    </row>
    <row r="47" spans="1:12" ht="12.75" customHeight="1" x14ac:dyDescent="0.25">
      <c r="A47" s="384" t="s">
        <v>7</v>
      </c>
      <c r="B47" s="419" t="s">
        <v>19</v>
      </c>
      <c r="C47" s="385" t="s">
        <v>63</v>
      </c>
      <c r="D47" s="385" t="str">
        <f ca="1">IFERROR(OFFSET(Camp_List[P_Code],MATCH(Data_Vulnerability_t[[#This Row],[Camp Name]],Camp_List[Camp Name],0)-1,0,1,1),"")</f>
        <v>MMR012CMP041</v>
      </c>
      <c r="E47" s="395" t="s">
        <v>934</v>
      </c>
      <c r="F47" s="177">
        <v>32</v>
      </c>
      <c r="G47" s="378" t="s">
        <v>291</v>
      </c>
      <c r="H47" s="396">
        <v>42082</v>
      </c>
      <c r="K47"/>
      <c r="L47"/>
    </row>
    <row r="48" spans="1:12" ht="12.75" customHeight="1" x14ac:dyDescent="0.25">
      <c r="A48" s="384" t="s">
        <v>7</v>
      </c>
      <c r="B48" s="419" t="s">
        <v>19</v>
      </c>
      <c r="C48" s="385" t="s">
        <v>63</v>
      </c>
      <c r="D48" s="385" t="str">
        <f ca="1">IFERROR(OFFSET(Camp_List[P_Code],MATCH(Data_Vulnerability_t[[#This Row],[Camp Name]],Camp_List[Camp Name],0)-1,0,1,1),"")</f>
        <v>MMR012CMP041</v>
      </c>
      <c r="E48" s="395" t="s">
        <v>937</v>
      </c>
      <c r="F48" s="177">
        <v>94</v>
      </c>
      <c r="G48" s="378" t="s">
        <v>291</v>
      </c>
      <c r="H48" s="396">
        <v>42082</v>
      </c>
      <c r="K48"/>
      <c r="L48"/>
    </row>
    <row r="49" spans="1:12" ht="12.75" customHeight="1" x14ac:dyDescent="0.25">
      <c r="A49" s="384" t="s">
        <v>7</v>
      </c>
      <c r="B49" s="419" t="s">
        <v>19</v>
      </c>
      <c r="C49" s="385" t="s">
        <v>63</v>
      </c>
      <c r="D49" s="385" t="str">
        <f ca="1">IFERROR(OFFSET(Camp_List[P_Code],MATCH(Data_Vulnerability_t[[#This Row],[Camp Name]],Camp_List[Camp Name],0)-1,0,1,1),"")</f>
        <v>MMR012CMP041</v>
      </c>
      <c r="E49" s="395" t="s">
        <v>935</v>
      </c>
      <c r="F49" s="177">
        <v>69</v>
      </c>
      <c r="G49" s="378" t="s">
        <v>291</v>
      </c>
      <c r="H49" s="396">
        <v>42082</v>
      </c>
      <c r="K49"/>
      <c r="L49"/>
    </row>
    <row r="50" spans="1:12" ht="12.75" customHeight="1" x14ac:dyDescent="0.25">
      <c r="A50" s="384" t="s">
        <v>7</v>
      </c>
      <c r="B50" s="419" t="s">
        <v>915</v>
      </c>
      <c r="C50" s="385" t="s">
        <v>37</v>
      </c>
      <c r="D50" s="385" t="str">
        <f ca="1">IFERROR(OFFSET(Camp_List[P_Code],MATCH(Data_Vulnerability_t[[#This Row],[Camp Name]],Camp_List[Camp Name],0)-1,0,1,1),"")</f>
        <v>MMR012CMP013</v>
      </c>
      <c r="E50" s="395" t="s">
        <v>932</v>
      </c>
      <c r="F50" s="177">
        <v>0</v>
      </c>
      <c r="G50" s="378" t="s">
        <v>733</v>
      </c>
      <c r="H50" s="396">
        <v>42130</v>
      </c>
      <c r="K50"/>
      <c r="L50"/>
    </row>
    <row r="51" spans="1:12" ht="12.75" customHeight="1" x14ac:dyDescent="0.25">
      <c r="A51" s="384" t="s">
        <v>7</v>
      </c>
      <c r="B51" s="419" t="s">
        <v>915</v>
      </c>
      <c r="C51" s="385" t="s">
        <v>37</v>
      </c>
      <c r="D51" s="385" t="str">
        <f ca="1">IFERROR(OFFSET(Camp_List[P_Code],MATCH(Data_Vulnerability_t[[#This Row],[Camp Name]],Camp_List[Camp Name],0)-1,0,1,1),"")</f>
        <v>MMR012CMP013</v>
      </c>
      <c r="E51" s="395" t="s">
        <v>756</v>
      </c>
      <c r="F51" s="177">
        <v>0</v>
      </c>
      <c r="G51" s="378" t="s">
        <v>733</v>
      </c>
      <c r="H51" s="396">
        <v>42130</v>
      </c>
      <c r="K51"/>
      <c r="L51"/>
    </row>
    <row r="52" spans="1:12" ht="12.75" customHeight="1" x14ac:dyDescent="0.25">
      <c r="A52" s="384" t="s">
        <v>7</v>
      </c>
      <c r="B52" s="419" t="s">
        <v>915</v>
      </c>
      <c r="C52" s="385" t="s">
        <v>37</v>
      </c>
      <c r="D52" s="385" t="str">
        <f ca="1">IFERROR(OFFSET(Camp_List[P_Code],MATCH(Data_Vulnerability_t[[#This Row],[Camp Name]],Camp_List[Camp Name],0)-1,0,1,1),"")</f>
        <v>MMR012CMP013</v>
      </c>
      <c r="E52" s="395" t="s">
        <v>755</v>
      </c>
      <c r="F52" s="177">
        <v>0</v>
      </c>
      <c r="G52" s="378" t="s">
        <v>733</v>
      </c>
      <c r="H52" s="396">
        <v>42130</v>
      </c>
      <c r="K52"/>
      <c r="L52"/>
    </row>
    <row r="53" spans="1:12" ht="12.75" customHeight="1" x14ac:dyDescent="0.25">
      <c r="A53" s="384" t="s">
        <v>7</v>
      </c>
      <c r="B53" s="419" t="s">
        <v>915</v>
      </c>
      <c r="C53" s="385" t="s">
        <v>37</v>
      </c>
      <c r="D53" s="385" t="str">
        <f ca="1">IFERROR(OFFSET(Camp_List[P_Code],MATCH(Data_Vulnerability_t[[#This Row],[Camp Name]],Camp_List[Camp Name],0)-1,0,1,1),"")</f>
        <v>MMR012CMP013</v>
      </c>
      <c r="E53" s="395" t="s">
        <v>933</v>
      </c>
      <c r="F53" s="177">
        <v>3</v>
      </c>
      <c r="G53" s="378" t="s">
        <v>733</v>
      </c>
      <c r="H53" s="396">
        <v>42130</v>
      </c>
      <c r="K53"/>
      <c r="L53"/>
    </row>
    <row r="54" spans="1:12" ht="12.75" customHeight="1" x14ac:dyDescent="0.25">
      <c r="A54" s="384" t="s">
        <v>7</v>
      </c>
      <c r="B54" s="419" t="s">
        <v>915</v>
      </c>
      <c r="C54" s="385" t="s">
        <v>37</v>
      </c>
      <c r="D54" s="385" t="str">
        <f ca="1">IFERROR(OFFSET(Camp_List[P_Code],MATCH(Data_Vulnerability_t[[#This Row],[Camp Name]],Camp_List[Camp Name],0)-1,0,1,1),"")</f>
        <v>MMR012CMP013</v>
      </c>
      <c r="E54" s="395" t="s">
        <v>936</v>
      </c>
      <c r="F54" s="177">
        <v>3</v>
      </c>
      <c r="G54" s="378" t="s">
        <v>733</v>
      </c>
      <c r="H54" s="396">
        <v>42130</v>
      </c>
      <c r="K54"/>
      <c r="L54"/>
    </row>
    <row r="55" spans="1:12" ht="12.75" customHeight="1" x14ac:dyDescent="0.25">
      <c r="A55" s="384" t="s">
        <v>7</v>
      </c>
      <c r="B55" s="419" t="s">
        <v>915</v>
      </c>
      <c r="C55" s="385" t="s">
        <v>37</v>
      </c>
      <c r="D55" s="385" t="str">
        <f ca="1">IFERROR(OFFSET(Camp_List[P_Code],MATCH(Data_Vulnerability_t[[#This Row],[Camp Name]],Camp_List[Camp Name],0)-1,0,1,1),"")</f>
        <v>MMR012CMP013</v>
      </c>
      <c r="E55" s="395" t="s">
        <v>934</v>
      </c>
      <c r="F55" s="177">
        <v>12</v>
      </c>
      <c r="G55" s="378" t="s">
        <v>733</v>
      </c>
      <c r="H55" s="396">
        <v>42130</v>
      </c>
      <c r="K55"/>
      <c r="L55"/>
    </row>
    <row r="56" spans="1:12" ht="12.75" customHeight="1" x14ac:dyDescent="0.25">
      <c r="A56" s="384" t="s">
        <v>7</v>
      </c>
      <c r="B56" s="419" t="s">
        <v>915</v>
      </c>
      <c r="C56" s="385" t="s">
        <v>37</v>
      </c>
      <c r="D56" s="385" t="str">
        <f ca="1">IFERROR(OFFSET(Camp_List[P_Code],MATCH(Data_Vulnerability_t[[#This Row],[Camp Name]],Camp_List[Camp Name],0)-1,0,1,1),"")</f>
        <v>MMR012CMP013</v>
      </c>
      <c r="E56" s="395" t="s">
        <v>937</v>
      </c>
      <c r="F56" s="177">
        <v>2</v>
      </c>
      <c r="G56" s="378" t="s">
        <v>733</v>
      </c>
      <c r="H56" s="396">
        <v>42130</v>
      </c>
      <c r="K56"/>
      <c r="L56"/>
    </row>
    <row r="57" spans="1:12" ht="12.75" customHeight="1" x14ac:dyDescent="0.25">
      <c r="A57" s="384" t="s">
        <v>7</v>
      </c>
      <c r="B57" s="419" t="s">
        <v>915</v>
      </c>
      <c r="C57" s="385" t="s">
        <v>37</v>
      </c>
      <c r="D57" s="385" t="str">
        <f ca="1">IFERROR(OFFSET(Camp_List[P_Code],MATCH(Data_Vulnerability_t[[#This Row],[Camp Name]],Camp_List[Camp Name],0)-1,0,1,1),"")</f>
        <v>MMR012CMP013</v>
      </c>
      <c r="E57" s="395" t="s">
        <v>935</v>
      </c>
      <c r="F57" s="177">
        <v>4</v>
      </c>
      <c r="G57" s="378" t="s">
        <v>733</v>
      </c>
      <c r="H57" s="396">
        <v>42130</v>
      </c>
      <c r="K57"/>
      <c r="L57"/>
    </row>
    <row r="58" spans="1:12" ht="12.75" customHeight="1" x14ac:dyDescent="0.25">
      <c r="A58" s="384" t="s">
        <v>7</v>
      </c>
      <c r="B58" s="419" t="s">
        <v>19</v>
      </c>
      <c r="C58" s="385" t="s">
        <v>64</v>
      </c>
      <c r="D58" s="385" t="str">
        <f ca="1">IFERROR(OFFSET(Camp_List[P_Code],MATCH(Data_Vulnerability_t[[#This Row],[Camp Name]],Camp_List[Camp Name],0)-1,0,1,1),"")</f>
        <v>MMR012CMP042</v>
      </c>
      <c r="E58" s="395" t="s">
        <v>932</v>
      </c>
      <c r="F58" s="177">
        <v>2</v>
      </c>
      <c r="G58" s="378" t="s">
        <v>643</v>
      </c>
      <c r="H58" s="396">
        <v>42100</v>
      </c>
      <c r="K58"/>
      <c r="L58"/>
    </row>
    <row r="59" spans="1:12" ht="12.75" customHeight="1" x14ac:dyDescent="0.25">
      <c r="A59" s="384" t="s">
        <v>7</v>
      </c>
      <c r="B59" s="419" t="s">
        <v>19</v>
      </c>
      <c r="C59" s="385" t="s">
        <v>64</v>
      </c>
      <c r="D59" s="385" t="str">
        <f ca="1">IFERROR(OFFSET(Camp_List[P_Code],MATCH(Data_Vulnerability_t[[#This Row],[Camp Name]],Camp_List[Camp Name],0)-1,0,1,1),"")</f>
        <v>MMR012CMP042</v>
      </c>
      <c r="E59" s="395" t="s">
        <v>756</v>
      </c>
      <c r="F59" s="177">
        <v>1</v>
      </c>
      <c r="G59" s="378" t="s">
        <v>643</v>
      </c>
      <c r="H59" s="396">
        <v>42100</v>
      </c>
      <c r="K59"/>
      <c r="L59"/>
    </row>
    <row r="60" spans="1:12" ht="12.75" customHeight="1" x14ac:dyDescent="0.25">
      <c r="A60" s="384" t="s">
        <v>7</v>
      </c>
      <c r="B60" s="419" t="s">
        <v>19</v>
      </c>
      <c r="C60" s="385" t="s">
        <v>64</v>
      </c>
      <c r="D60" s="385" t="str">
        <f ca="1">IFERROR(OFFSET(Camp_List[P_Code],MATCH(Data_Vulnerability_t[[#This Row],[Camp Name]],Camp_List[Camp Name],0)-1,0,1,1),"")</f>
        <v>MMR012CMP042</v>
      </c>
      <c r="E60" s="395" t="s">
        <v>755</v>
      </c>
      <c r="F60" s="177">
        <v>2</v>
      </c>
      <c r="G60" s="378" t="s">
        <v>643</v>
      </c>
      <c r="H60" s="396">
        <v>42100</v>
      </c>
      <c r="K60"/>
      <c r="L60"/>
    </row>
    <row r="61" spans="1:12" ht="12.75" customHeight="1" x14ac:dyDescent="0.25">
      <c r="A61" s="384" t="s">
        <v>7</v>
      </c>
      <c r="B61" s="419" t="s">
        <v>19</v>
      </c>
      <c r="C61" s="385" t="s">
        <v>64</v>
      </c>
      <c r="D61" s="385" t="str">
        <f ca="1">IFERROR(OFFSET(Camp_List[P_Code],MATCH(Data_Vulnerability_t[[#This Row],[Camp Name]],Camp_List[Camp Name],0)-1,0,1,1),"")</f>
        <v>MMR012CMP042</v>
      </c>
      <c r="E61" s="395" t="s">
        <v>933</v>
      </c>
      <c r="F61" s="177">
        <v>41</v>
      </c>
      <c r="G61" s="378" t="s">
        <v>643</v>
      </c>
      <c r="H61" s="396">
        <v>42100</v>
      </c>
      <c r="K61"/>
      <c r="L61"/>
    </row>
    <row r="62" spans="1:12" ht="12.75" customHeight="1" x14ac:dyDescent="0.25">
      <c r="A62" s="384" t="s">
        <v>7</v>
      </c>
      <c r="B62" s="419" t="s">
        <v>19</v>
      </c>
      <c r="C62" s="385" t="s">
        <v>64</v>
      </c>
      <c r="D62" s="385" t="str">
        <f ca="1">IFERROR(OFFSET(Camp_List[P_Code],MATCH(Data_Vulnerability_t[[#This Row],[Camp Name]],Camp_List[Camp Name],0)-1,0,1,1),"")</f>
        <v>MMR012CMP042</v>
      </c>
      <c r="E62" s="395" t="s">
        <v>936</v>
      </c>
      <c r="F62" s="177">
        <v>210</v>
      </c>
      <c r="G62" s="378" t="s">
        <v>643</v>
      </c>
      <c r="H62" s="396">
        <v>42100</v>
      </c>
      <c r="K62"/>
      <c r="L62"/>
    </row>
    <row r="63" spans="1:12" ht="12.75" customHeight="1" x14ac:dyDescent="0.25">
      <c r="A63" s="384" t="s">
        <v>7</v>
      </c>
      <c r="B63" s="419" t="s">
        <v>19</v>
      </c>
      <c r="C63" s="385" t="s">
        <v>64</v>
      </c>
      <c r="D63" s="385" t="str">
        <f ca="1">IFERROR(OFFSET(Camp_List[P_Code],MATCH(Data_Vulnerability_t[[#This Row],[Camp Name]],Camp_List[Camp Name],0)-1,0,1,1),"")</f>
        <v>MMR012CMP042</v>
      </c>
      <c r="E63" s="395" t="s">
        <v>934</v>
      </c>
      <c r="F63" s="177">
        <v>27</v>
      </c>
      <c r="G63" s="378" t="s">
        <v>643</v>
      </c>
      <c r="H63" s="396">
        <v>42100</v>
      </c>
      <c r="K63"/>
      <c r="L63"/>
    </row>
    <row r="64" spans="1:12" ht="12.75" customHeight="1" x14ac:dyDescent="0.25">
      <c r="A64" s="384" t="s">
        <v>7</v>
      </c>
      <c r="B64" s="419" t="s">
        <v>19</v>
      </c>
      <c r="C64" s="385" t="s">
        <v>64</v>
      </c>
      <c r="D64" s="385" t="str">
        <f ca="1">IFERROR(OFFSET(Camp_List[P_Code],MATCH(Data_Vulnerability_t[[#This Row],[Camp Name]],Camp_List[Camp Name],0)-1,0,1,1),"")</f>
        <v>MMR012CMP042</v>
      </c>
      <c r="E64" s="395" t="s">
        <v>937</v>
      </c>
      <c r="F64" s="177">
        <v>54</v>
      </c>
      <c r="G64" s="378" t="s">
        <v>643</v>
      </c>
      <c r="H64" s="396">
        <v>42100</v>
      </c>
      <c r="K64"/>
      <c r="L64"/>
    </row>
    <row r="65" spans="1:12" ht="12.75" customHeight="1" x14ac:dyDescent="0.25">
      <c r="A65" s="384" t="s">
        <v>7</v>
      </c>
      <c r="B65" s="419" t="s">
        <v>19</v>
      </c>
      <c r="C65" s="385" t="s">
        <v>64</v>
      </c>
      <c r="D65" s="385" t="str">
        <f ca="1">IFERROR(OFFSET(Camp_List[P_Code],MATCH(Data_Vulnerability_t[[#This Row],[Camp Name]],Camp_List[Camp Name],0)-1,0,1,1),"")</f>
        <v>MMR012CMP042</v>
      </c>
      <c r="E65" s="395" t="s">
        <v>935</v>
      </c>
      <c r="F65" s="177">
        <v>12</v>
      </c>
      <c r="G65" s="378" t="s">
        <v>643</v>
      </c>
      <c r="H65" s="396">
        <v>42100</v>
      </c>
      <c r="K65"/>
      <c r="L65"/>
    </row>
    <row r="66" spans="1:12" ht="12.75" customHeight="1" x14ac:dyDescent="0.25">
      <c r="A66" s="384" t="s">
        <v>7</v>
      </c>
      <c r="B66" s="419" t="s">
        <v>14</v>
      </c>
      <c r="C66" s="385" t="s">
        <v>42</v>
      </c>
      <c r="D66" s="385" t="str">
        <f ca="1">IFERROR(OFFSET(Camp_List[P_Code],MATCH(Data_Vulnerability_t[[#This Row],[Camp Name]],Camp_List[Camp Name],0)-1,0,1,1),"")</f>
        <v>MMR012CMP018</v>
      </c>
      <c r="E66" s="395" t="s">
        <v>932</v>
      </c>
      <c r="F66" s="177">
        <v>23</v>
      </c>
      <c r="G66" s="378" t="s">
        <v>757</v>
      </c>
      <c r="H66" s="396">
        <v>42173</v>
      </c>
      <c r="K66"/>
      <c r="L66"/>
    </row>
    <row r="67" spans="1:12" ht="12.75" customHeight="1" x14ac:dyDescent="0.25">
      <c r="A67" s="384" t="s">
        <v>7</v>
      </c>
      <c r="B67" s="419" t="s">
        <v>14</v>
      </c>
      <c r="C67" s="385" t="s">
        <v>42</v>
      </c>
      <c r="D67" s="385" t="str">
        <f ca="1">IFERROR(OFFSET(Camp_List[P_Code],MATCH(Data_Vulnerability_t[[#This Row],[Camp Name]],Camp_List[Camp Name],0)-1,0,1,1),"")</f>
        <v>MMR012CMP018</v>
      </c>
      <c r="E67" s="395" t="s">
        <v>756</v>
      </c>
      <c r="F67" s="177">
        <v>4</v>
      </c>
      <c r="G67" s="378" t="s">
        <v>757</v>
      </c>
      <c r="H67" s="396">
        <v>42173</v>
      </c>
      <c r="K67"/>
      <c r="L67"/>
    </row>
    <row r="68" spans="1:12" ht="12.75" customHeight="1" x14ac:dyDescent="0.25">
      <c r="A68" s="384" t="s">
        <v>7</v>
      </c>
      <c r="B68" s="419" t="s">
        <v>14</v>
      </c>
      <c r="C68" s="385" t="s">
        <v>42</v>
      </c>
      <c r="D68" s="385" t="str">
        <f ca="1">IFERROR(OFFSET(Camp_List[P_Code],MATCH(Data_Vulnerability_t[[#This Row],[Camp Name]],Camp_List[Camp Name],0)-1,0,1,1),"")</f>
        <v>MMR012CMP018</v>
      </c>
      <c r="E68" s="395" t="s">
        <v>755</v>
      </c>
      <c r="F68" s="177">
        <v>2</v>
      </c>
      <c r="G68" s="378" t="s">
        <v>757</v>
      </c>
      <c r="H68" s="396">
        <v>42173</v>
      </c>
      <c r="K68"/>
      <c r="L68"/>
    </row>
    <row r="69" spans="1:12" ht="12.75" customHeight="1" x14ac:dyDescent="0.25">
      <c r="A69" s="384" t="s">
        <v>7</v>
      </c>
      <c r="B69" s="419" t="s">
        <v>14</v>
      </c>
      <c r="C69" s="385" t="s">
        <v>42</v>
      </c>
      <c r="D69" s="385" t="str">
        <f ca="1">IFERROR(OFFSET(Camp_List[P_Code],MATCH(Data_Vulnerability_t[[#This Row],[Camp Name]],Camp_List[Camp Name],0)-1,0,1,1),"")</f>
        <v>MMR012CMP018</v>
      </c>
      <c r="E69" s="395" t="s">
        <v>933</v>
      </c>
      <c r="F69" s="177">
        <v>38</v>
      </c>
      <c r="G69" s="378" t="s">
        <v>757</v>
      </c>
      <c r="H69" s="396">
        <v>42173</v>
      </c>
      <c r="K69"/>
      <c r="L69"/>
    </row>
    <row r="70" spans="1:12" ht="12.75" customHeight="1" x14ac:dyDescent="0.25">
      <c r="A70" s="384" t="s">
        <v>7</v>
      </c>
      <c r="B70" s="419" t="s">
        <v>14</v>
      </c>
      <c r="C70" s="385" t="s">
        <v>42</v>
      </c>
      <c r="D70" s="385" t="str">
        <f ca="1">IFERROR(OFFSET(Camp_List[P_Code],MATCH(Data_Vulnerability_t[[#This Row],[Camp Name]],Camp_List[Camp Name],0)-1,0,1,1),"")</f>
        <v>MMR012CMP018</v>
      </c>
      <c r="E70" s="395" t="s">
        <v>936</v>
      </c>
      <c r="F70" s="177">
        <v>36</v>
      </c>
      <c r="G70" s="378" t="s">
        <v>757</v>
      </c>
      <c r="H70" s="396">
        <v>42173</v>
      </c>
      <c r="K70"/>
      <c r="L70"/>
    </row>
    <row r="71" spans="1:12" ht="12.75" customHeight="1" x14ac:dyDescent="0.25">
      <c r="A71" s="384" t="s">
        <v>7</v>
      </c>
      <c r="B71" s="419" t="s">
        <v>14</v>
      </c>
      <c r="C71" s="385" t="s">
        <v>42</v>
      </c>
      <c r="D71" s="385" t="str">
        <f ca="1">IFERROR(OFFSET(Camp_List[P_Code],MATCH(Data_Vulnerability_t[[#This Row],[Camp Name]],Camp_List[Camp Name],0)-1,0,1,1),"")</f>
        <v>MMR012CMP018</v>
      </c>
      <c r="E71" s="395" t="s">
        <v>934</v>
      </c>
      <c r="F71" s="177">
        <v>21</v>
      </c>
      <c r="G71" s="378" t="s">
        <v>757</v>
      </c>
      <c r="H71" s="396">
        <v>42173</v>
      </c>
      <c r="K71"/>
      <c r="L71"/>
    </row>
    <row r="72" spans="1:12" ht="12.75" customHeight="1" x14ac:dyDescent="0.25">
      <c r="A72" s="384" t="s">
        <v>7</v>
      </c>
      <c r="B72" s="419" t="s">
        <v>14</v>
      </c>
      <c r="C72" s="385" t="s">
        <v>42</v>
      </c>
      <c r="D72" s="385" t="str">
        <f ca="1">IFERROR(OFFSET(Camp_List[P_Code],MATCH(Data_Vulnerability_t[[#This Row],[Camp Name]],Camp_List[Camp Name],0)-1,0,1,1),"")</f>
        <v>MMR012CMP018</v>
      </c>
      <c r="E72" s="395" t="s">
        <v>937</v>
      </c>
      <c r="F72" s="177">
        <v>33</v>
      </c>
      <c r="G72" s="378" t="s">
        <v>757</v>
      </c>
      <c r="H72" s="396">
        <v>42173</v>
      </c>
      <c r="K72"/>
      <c r="L72"/>
    </row>
    <row r="73" spans="1:12" ht="12.75" customHeight="1" x14ac:dyDescent="0.25">
      <c r="A73" s="384" t="s">
        <v>7</v>
      </c>
      <c r="B73" s="419" t="s">
        <v>14</v>
      </c>
      <c r="C73" s="385" t="s">
        <v>42</v>
      </c>
      <c r="D73" s="385" t="str">
        <f ca="1">IFERROR(OFFSET(Camp_List[P_Code],MATCH(Data_Vulnerability_t[[#This Row],[Camp Name]],Camp_List[Camp Name],0)-1,0,1,1),"")</f>
        <v>MMR012CMP018</v>
      </c>
      <c r="E73" s="395" t="s">
        <v>935</v>
      </c>
      <c r="F73" s="177">
        <v>83</v>
      </c>
      <c r="G73" s="378" t="s">
        <v>757</v>
      </c>
      <c r="H73" s="396">
        <v>42173</v>
      </c>
      <c r="K73"/>
      <c r="L73"/>
    </row>
    <row r="74" spans="1:12" ht="12.75" customHeight="1" x14ac:dyDescent="0.25">
      <c r="A74" s="384" t="s">
        <v>7</v>
      </c>
      <c r="B74" s="419" t="s">
        <v>19</v>
      </c>
      <c r="C74" s="385" t="s">
        <v>649</v>
      </c>
      <c r="D74" s="385" t="str">
        <f ca="1">IFERROR(OFFSET(Camp_List[P_Code],MATCH(Data_Vulnerability_t[[#This Row],[Camp Name]],Camp_List[Camp Name],0)-1,0,1,1),"")</f>
        <v>MMR012CMP092</v>
      </c>
      <c r="E74" s="395" t="s">
        <v>932</v>
      </c>
      <c r="F74" s="177">
        <v>6</v>
      </c>
      <c r="G74" s="378" t="s">
        <v>757</v>
      </c>
      <c r="H74" s="396">
        <v>42163</v>
      </c>
      <c r="K74"/>
      <c r="L74"/>
    </row>
    <row r="75" spans="1:12" ht="12.75" customHeight="1" x14ac:dyDescent="0.25">
      <c r="A75" s="384" t="s">
        <v>7</v>
      </c>
      <c r="B75" s="419" t="s">
        <v>19</v>
      </c>
      <c r="C75" s="378" t="s">
        <v>649</v>
      </c>
      <c r="D75" s="385" t="str">
        <f ca="1">IFERROR(OFFSET(Camp_List[P_Code],MATCH(Data_Vulnerability_t[[#This Row],[Camp Name]],Camp_List[Camp Name],0)-1,0,1,1),"")</f>
        <v>MMR012CMP092</v>
      </c>
      <c r="E75" s="395" t="s">
        <v>756</v>
      </c>
      <c r="F75" s="177">
        <v>3</v>
      </c>
      <c r="G75" s="378" t="s">
        <v>757</v>
      </c>
      <c r="H75" s="396">
        <v>42163</v>
      </c>
      <c r="K75"/>
      <c r="L75"/>
    </row>
    <row r="76" spans="1:12" ht="12.75" customHeight="1" x14ac:dyDescent="0.25">
      <c r="A76" s="384" t="s">
        <v>7</v>
      </c>
      <c r="B76" s="419" t="s">
        <v>19</v>
      </c>
      <c r="C76" s="378" t="s">
        <v>649</v>
      </c>
      <c r="D76" s="385" t="str">
        <f ca="1">IFERROR(OFFSET(Camp_List[P_Code],MATCH(Data_Vulnerability_t[[#This Row],[Camp Name]],Camp_List[Camp Name],0)-1,0,1,1),"")</f>
        <v>MMR012CMP092</v>
      </c>
      <c r="E76" s="395" t="s">
        <v>755</v>
      </c>
      <c r="F76" s="177">
        <v>3</v>
      </c>
      <c r="G76" s="378" t="s">
        <v>757</v>
      </c>
      <c r="H76" s="396">
        <v>42163</v>
      </c>
      <c r="K76"/>
      <c r="L76"/>
    </row>
    <row r="77" spans="1:12" ht="12.75" customHeight="1" x14ac:dyDescent="0.25">
      <c r="A77" s="384" t="s">
        <v>7</v>
      </c>
      <c r="B77" s="419" t="s">
        <v>19</v>
      </c>
      <c r="C77" s="378" t="s">
        <v>649</v>
      </c>
      <c r="D77" s="385" t="str">
        <f ca="1">IFERROR(OFFSET(Camp_List[P_Code],MATCH(Data_Vulnerability_t[[#This Row],[Camp Name]],Camp_List[Camp Name],0)-1,0,1,1),"")</f>
        <v>MMR012CMP092</v>
      </c>
      <c r="E77" s="395" t="s">
        <v>933</v>
      </c>
      <c r="F77" s="177">
        <v>37</v>
      </c>
      <c r="G77" s="378" t="s">
        <v>757</v>
      </c>
      <c r="H77" s="396">
        <v>42163</v>
      </c>
      <c r="K77"/>
      <c r="L77"/>
    </row>
    <row r="78" spans="1:12" ht="12.75" customHeight="1" x14ac:dyDescent="0.25">
      <c r="A78" s="384" t="s">
        <v>7</v>
      </c>
      <c r="B78" s="419" t="s">
        <v>19</v>
      </c>
      <c r="C78" s="378" t="s">
        <v>649</v>
      </c>
      <c r="D78" s="385" t="str">
        <f ca="1">IFERROR(OFFSET(Camp_List[P_Code],MATCH(Data_Vulnerability_t[[#This Row],[Camp Name]],Camp_List[Camp Name],0)-1,0,1,1),"")</f>
        <v>MMR012CMP092</v>
      </c>
      <c r="E78" s="395" t="s">
        <v>936</v>
      </c>
      <c r="F78" s="177">
        <v>28</v>
      </c>
      <c r="G78" s="378" t="s">
        <v>757</v>
      </c>
      <c r="H78" s="396">
        <v>42163</v>
      </c>
      <c r="K78"/>
      <c r="L78"/>
    </row>
    <row r="79" spans="1:12" ht="12.75" customHeight="1" x14ac:dyDescent="0.25">
      <c r="A79" s="384" t="s">
        <v>7</v>
      </c>
      <c r="B79" s="419" t="s">
        <v>19</v>
      </c>
      <c r="C79" s="378" t="s">
        <v>649</v>
      </c>
      <c r="D79" s="385" t="str">
        <f ca="1">IFERROR(OFFSET(Camp_List[P_Code],MATCH(Data_Vulnerability_t[[#This Row],[Camp Name]],Camp_List[Camp Name],0)-1,0,1,1),"")</f>
        <v>MMR012CMP092</v>
      </c>
      <c r="E79" s="395" t="s">
        <v>934</v>
      </c>
      <c r="F79" s="177">
        <v>9</v>
      </c>
      <c r="G79" s="378" t="s">
        <v>757</v>
      </c>
      <c r="H79" s="396">
        <v>42163</v>
      </c>
      <c r="K79"/>
      <c r="L79"/>
    </row>
    <row r="80" spans="1:12" ht="12.75" customHeight="1" x14ac:dyDescent="0.25">
      <c r="A80" s="384" t="s">
        <v>7</v>
      </c>
      <c r="B80" s="419" t="s">
        <v>19</v>
      </c>
      <c r="C80" s="378" t="s">
        <v>649</v>
      </c>
      <c r="D80" s="385" t="str">
        <f ca="1">IFERROR(OFFSET(Camp_List[P_Code],MATCH(Data_Vulnerability_t[[#This Row],[Camp Name]],Camp_List[Camp Name],0)-1,0,1,1),"")</f>
        <v>MMR012CMP092</v>
      </c>
      <c r="E80" s="395" t="s">
        <v>937</v>
      </c>
      <c r="F80" s="177">
        <v>5</v>
      </c>
      <c r="G80" s="378" t="s">
        <v>757</v>
      </c>
      <c r="H80" s="396">
        <v>42163</v>
      </c>
      <c r="K80"/>
      <c r="L80"/>
    </row>
    <row r="81" spans="1:12" ht="12.75" customHeight="1" x14ac:dyDescent="0.25">
      <c r="A81" s="384" t="s">
        <v>7</v>
      </c>
      <c r="B81" s="419" t="s">
        <v>19</v>
      </c>
      <c r="C81" s="378" t="s">
        <v>649</v>
      </c>
      <c r="D81" s="385" t="str">
        <f ca="1">IFERROR(OFFSET(Camp_List[P_Code],MATCH(Data_Vulnerability_t[[#This Row],[Camp Name]],Camp_List[Camp Name],0)-1,0,1,1),"")</f>
        <v>MMR012CMP092</v>
      </c>
      <c r="E81" s="395" t="s">
        <v>935</v>
      </c>
      <c r="F81" s="177">
        <v>73</v>
      </c>
      <c r="G81" s="378" t="s">
        <v>757</v>
      </c>
      <c r="H81" s="396">
        <v>42163</v>
      </c>
      <c r="K81"/>
      <c r="L81"/>
    </row>
    <row r="82" spans="1:12" ht="12.75" customHeight="1" x14ac:dyDescent="0.25">
      <c r="A82" s="384" t="s">
        <v>7</v>
      </c>
      <c r="B82" s="419" t="s">
        <v>14</v>
      </c>
      <c r="C82" s="378" t="s">
        <v>41</v>
      </c>
      <c r="D82" s="385" t="str">
        <f ca="1">IFERROR(OFFSET(Camp_List[P_Code],MATCH(Data_Vulnerability_t[[#This Row],[Camp Name]],Camp_List[Camp Name],0)-1,0,1,1),"")</f>
        <v>MMR012CMP017</v>
      </c>
      <c r="E82" s="395" t="s">
        <v>932</v>
      </c>
      <c r="F82" s="177">
        <v>4</v>
      </c>
      <c r="G82" s="378" t="s">
        <v>643</v>
      </c>
      <c r="H82" s="396">
        <v>42097</v>
      </c>
      <c r="K82"/>
      <c r="L82"/>
    </row>
    <row r="83" spans="1:12" ht="12.75" customHeight="1" x14ac:dyDescent="0.25">
      <c r="A83" s="384" t="s">
        <v>7</v>
      </c>
      <c r="B83" s="419" t="s">
        <v>14</v>
      </c>
      <c r="C83" s="378" t="s">
        <v>41</v>
      </c>
      <c r="D83" s="385" t="str">
        <f ca="1">IFERROR(OFFSET(Camp_List[P_Code],MATCH(Data_Vulnerability_t[[#This Row],[Camp Name]],Camp_List[Camp Name],0)-1,0,1,1),"")</f>
        <v>MMR012CMP017</v>
      </c>
      <c r="E83" s="395" t="s">
        <v>756</v>
      </c>
      <c r="F83" s="177">
        <v>4</v>
      </c>
      <c r="G83" s="378" t="s">
        <v>643</v>
      </c>
      <c r="H83" s="396">
        <v>42097</v>
      </c>
      <c r="K83"/>
      <c r="L83"/>
    </row>
    <row r="84" spans="1:12" ht="12.75" customHeight="1" x14ac:dyDescent="0.25">
      <c r="A84" s="384" t="s">
        <v>7</v>
      </c>
      <c r="B84" s="419" t="s">
        <v>14</v>
      </c>
      <c r="C84" s="378" t="s">
        <v>41</v>
      </c>
      <c r="D84" s="385" t="str">
        <f ca="1">IFERROR(OFFSET(Camp_List[P_Code],MATCH(Data_Vulnerability_t[[#This Row],[Camp Name]],Camp_List[Camp Name],0)-1,0,1,1),"")</f>
        <v>MMR012CMP017</v>
      </c>
      <c r="E84" s="395" t="s">
        <v>755</v>
      </c>
      <c r="F84" s="177">
        <v>8</v>
      </c>
      <c r="G84" s="378" t="s">
        <v>643</v>
      </c>
      <c r="H84" s="396">
        <v>42097</v>
      </c>
      <c r="K84"/>
      <c r="L84"/>
    </row>
    <row r="85" spans="1:12" ht="12.75" customHeight="1" x14ac:dyDescent="0.25">
      <c r="A85" s="384" t="s">
        <v>7</v>
      </c>
      <c r="B85" s="419" t="s">
        <v>14</v>
      </c>
      <c r="C85" s="378" t="s">
        <v>41</v>
      </c>
      <c r="D85" s="385" t="str">
        <f ca="1">IFERROR(OFFSET(Camp_List[P_Code],MATCH(Data_Vulnerability_t[[#This Row],[Camp Name]],Camp_List[Camp Name],0)-1,0,1,1),"")</f>
        <v>MMR012CMP017</v>
      </c>
      <c r="E85" s="395" t="s">
        <v>933</v>
      </c>
      <c r="F85" s="177">
        <v>9</v>
      </c>
      <c r="G85" s="378" t="s">
        <v>643</v>
      </c>
      <c r="H85" s="396">
        <v>42097</v>
      </c>
      <c r="K85"/>
      <c r="L85"/>
    </row>
    <row r="86" spans="1:12" ht="12.75" customHeight="1" x14ac:dyDescent="0.25">
      <c r="A86" s="384" t="s">
        <v>7</v>
      </c>
      <c r="B86" s="419" t="s">
        <v>14</v>
      </c>
      <c r="C86" s="378" t="s">
        <v>41</v>
      </c>
      <c r="D86" s="385" t="str">
        <f ca="1">IFERROR(OFFSET(Camp_List[P_Code],MATCH(Data_Vulnerability_t[[#This Row],[Camp Name]],Camp_List[Camp Name],0)-1,0,1,1),"")</f>
        <v>MMR012CMP017</v>
      </c>
      <c r="E86" s="395" t="s">
        <v>936</v>
      </c>
      <c r="F86" s="177">
        <v>640</v>
      </c>
      <c r="G86" s="378" t="s">
        <v>643</v>
      </c>
      <c r="H86" s="396">
        <v>42097</v>
      </c>
      <c r="K86"/>
      <c r="L86"/>
    </row>
    <row r="87" spans="1:12" ht="12.75" customHeight="1" x14ac:dyDescent="0.25">
      <c r="A87" s="384" t="s">
        <v>7</v>
      </c>
      <c r="B87" s="419" t="s">
        <v>14</v>
      </c>
      <c r="C87" s="378" t="s">
        <v>41</v>
      </c>
      <c r="D87" s="385" t="str">
        <f ca="1">IFERROR(OFFSET(Camp_List[P_Code],MATCH(Data_Vulnerability_t[[#This Row],[Camp Name]],Camp_List[Camp Name],0)-1,0,1,1),"")</f>
        <v>MMR012CMP017</v>
      </c>
      <c r="E87" s="395" t="s">
        <v>934</v>
      </c>
      <c r="F87" s="177">
        <v>33</v>
      </c>
      <c r="G87" s="378" t="s">
        <v>643</v>
      </c>
      <c r="H87" s="396">
        <v>42097</v>
      </c>
      <c r="K87"/>
      <c r="L87"/>
    </row>
    <row r="88" spans="1:12" ht="12.75" customHeight="1" x14ac:dyDescent="0.25">
      <c r="A88" s="384" t="s">
        <v>7</v>
      </c>
      <c r="B88" s="419" t="s">
        <v>14</v>
      </c>
      <c r="C88" s="378" t="s">
        <v>41</v>
      </c>
      <c r="D88" s="385" t="str">
        <f ca="1">IFERROR(OFFSET(Camp_List[P_Code],MATCH(Data_Vulnerability_t[[#This Row],[Camp Name]],Camp_List[Camp Name],0)-1,0,1,1),"")</f>
        <v>MMR012CMP017</v>
      </c>
      <c r="E88" s="395" t="s">
        <v>937</v>
      </c>
      <c r="F88" s="177">
        <v>31</v>
      </c>
      <c r="G88" s="378" t="s">
        <v>643</v>
      </c>
      <c r="H88" s="396">
        <v>42097</v>
      </c>
      <c r="K88"/>
      <c r="L88"/>
    </row>
    <row r="89" spans="1:12" ht="12.75" customHeight="1" x14ac:dyDescent="0.25">
      <c r="A89" s="384" t="s">
        <v>7</v>
      </c>
      <c r="B89" s="419" t="s">
        <v>14</v>
      </c>
      <c r="C89" s="378" t="s">
        <v>41</v>
      </c>
      <c r="D89" s="385" t="str">
        <f ca="1">IFERROR(OFFSET(Camp_List[P_Code],MATCH(Data_Vulnerability_t[[#This Row],[Camp Name]],Camp_List[Camp Name],0)-1,0,1,1),"")</f>
        <v>MMR012CMP017</v>
      </c>
      <c r="E89" s="395" t="s">
        <v>935</v>
      </c>
      <c r="F89" s="177">
        <v>12</v>
      </c>
      <c r="G89" s="378" t="s">
        <v>643</v>
      </c>
      <c r="H89" s="396">
        <v>42097</v>
      </c>
      <c r="K89"/>
      <c r="L89"/>
    </row>
    <row r="90" spans="1:12" ht="12.75" customHeight="1" x14ac:dyDescent="0.25">
      <c r="A90" s="384" t="s">
        <v>7</v>
      </c>
      <c r="B90" s="419" t="s">
        <v>19</v>
      </c>
      <c r="C90" s="378" t="s">
        <v>654</v>
      </c>
      <c r="D90" s="385" t="str">
        <f ca="1">IFERROR(OFFSET(Camp_List[P_Code],MATCH(Data_Vulnerability_t[[#This Row],[Camp Name]],Camp_List[Camp Name],0)-1,0,1,1),"")</f>
        <v>MMR012CMP098</v>
      </c>
      <c r="E90" s="395" t="s">
        <v>932</v>
      </c>
      <c r="F90" s="177">
        <v>100</v>
      </c>
      <c r="G90" s="378" t="s">
        <v>291</v>
      </c>
      <c r="H90" s="396">
        <v>42080</v>
      </c>
      <c r="K90"/>
      <c r="L90"/>
    </row>
    <row r="91" spans="1:12" ht="12.75" customHeight="1" x14ac:dyDescent="0.25">
      <c r="A91" s="384" t="s">
        <v>7</v>
      </c>
      <c r="B91" s="419" t="s">
        <v>19</v>
      </c>
      <c r="C91" s="378" t="s">
        <v>654</v>
      </c>
      <c r="D91" s="385" t="str">
        <f ca="1">IFERROR(OFFSET(Camp_List[P_Code],MATCH(Data_Vulnerability_t[[#This Row],[Camp Name]],Camp_List[Camp Name],0)-1,0,1,1),"")</f>
        <v>MMR012CMP098</v>
      </c>
      <c r="E91" s="395" t="s">
        <v>756</v>
      </c>
      <c r="F91" s="177">
        <v>20</v>
      </c>
      <c r="G91" s="378" t="s">
        <v>291</v>
      </c>
      <c r="H91" s="396">
        <v>42080</v>
      </c>
      <c r="K91"/>
      <c r="L91"/>
    </row>
    <row r="92" spans="1:12" ht="12.75" customHeight="1" x14ac:dyDescent="0.25">
      <c r="A92" s="384" t="s">
        <v>7</v>
      </c>
      <c r="B92" s="419" t="s">
        <v>19</v>
      </c>
      <c r="C92" s="378" t="s">
        <v>654</v>
      </c>
      <c r="D92" s="385" t="str">
        <f ca="1">IFERROR(OFFSET(Camp_List[P_Code],MATCH(Data_Vulnerability_t[[#This Row],[Camp Name]],Camp_List[Camp Name],0)-1,0,1,1),"")</f>
        <v>MMR012CMP098</v>
      </c>
      <c r="E92" s="395" t="s">
        <v>755</v>
      </c>
      <c r="F92" s="177">
        <v>1</v>
      </c>
      <c r="G92" s="378" t="s">
        <v>291</v>
      </c>
      <c r="H92" s="396">
        <v>42080</v>
      </c>
      <c r="K92"/>
      <c r="L92"/>
    </row>
    <row r="93" spans="1:12" ht="12.75" customHeight="1" x14ac:dyDescent="0.25">
      <c r="A93" s="384" t="s">
        <v>7</v>
      </c>
      <c r="B93" s="419" t="s">
        <v>19</v>
      </c>
      <c r="C93" s="435" t="s">
        <v>654</v>
      </c>
      <c r="D93" s="385" t="str">
        <f ca="1">IFERROR(OFFSET(Camp_List[P_Code],MATCH(Data_Vulnerability_t[[#This Row],[Camp Name]],Camp_List[Camp Name],0)-1,0,1,1),"")</f>
        <v>MMR012CMP098</v>
      </c>
      <c r="E93" s="395" t="s">
        <v>933</v>
      </c>
      <c r="F93" s="177">
        <v>82</v>
      </c>
      <c r="G93" s="378" t="s">
        <v>291</v>
      </c>
      <c r="H93" s="396">
        <v>42080</v>
      </c>
      <c r="K93"/>
      <c r="L93"/>
    </row>
    <row r="94" spans="1:12" ht="12.75" customHeight="1" x14ac:dyDescent="0.25">
      <c r="A94" s="384" t="s">
        <v>7</v>
      </c>
      <c r="B94" s="419" t="s">
        <v>19</v>
      </c>
      <c r="C94" s="435" t="s">
        <v>654</v>
      </c>
      <c r="D94" s="385" t="str">
        <f ca="1">IFERROR(OFFSET(Camp_List[P_Code],MATCH(Data_Vulnerability_t[[#This Row],[Camp Name]],Camp_List[Camp Name],0)-1,0,1,1),"")</f>
        <v>MMR012CMP098</v>
      </c>
      <c r="E94" s="395" t="s">
        <v>936</v>
      </c>
      <c r="F94" s="177">
        <v>26</v>
      </c>
      <c r="G94" s="378" t="s">
        <v>291</v>
      </c>
      <c r="H94" s="396">
        <v>42080</v>
      </c>
      <c r="K94"/>
      <c r="L94"/>
    </row>
    <row r="95" spans="1:12" ht="12.75" customHeight="1" x14ac:dyDescent="0.25">
      <c r="A95" s="384" t="s">
        <v>7</v>
      </c>
      <c r="B95" s="419" t="s">
        <v>19</v>
      </c>
      <c r="C95" s="435" t="s">
        <v>654</v>
      </c>
      <c r="D95" s="385" t="str">
        <f ca="1">IFERROR(OFFSET(Camp_List[P_Code],MATCH(Data_Vulnerability_t[[#This Row],[Camp Name]],Camp_List[Camp Name],0)-1,0,1,1),"")</f>
        <v>MMR012CMP098</v>
      </c>
      <c r="E95" s="395" t="s">
        <v>934</v>
      </c>
      <c r="F95" s="177">
        <v>12</v>
      </c>
      <c r="G95" s="378" t="s">
        <v>291</v>
      </c>
      <c r="H95" s="396">
        <v>42080</v>
      </c>
      <c r="K95"/>
      <c r="L95"/>
    </row>
    <row r="96" spans="1:12" ht="12.75" customHeight="1" x14ac:dyDescent="0.25">
      <c r="A96" s="384" t="s">
        <v>7</v>
      </c>
      <c r="B96" s="419" t="s">
        <v>19</v>
      </c>
      <c r="C96" s="435" t="s">
        <v>654</v>
      </c>
      <c r="D96" s="385" t="str">
        <f ca="1">IFERROR(OFFSET(Camp_List[P_Code],MATCH(Data_Vulnerability_t[[#This Row],[Camp Name]],Camp_List[Camp Name],0)-1,0,1,1),"")</f>
        <v>MMR012CMP098</v>
      </c>
      <c r="E96" s="395" t="s">
        <v>937</v>
      </c>
      <c r="F96" s="177">
        <v>32</v>
      </c>
      <c r="G96" s="378" t="s">
        <v>291</v>
      </c>
      <c r="H96" s="396">
        <v>42080</v>
      </c>
      <c r="K96"/>
      <c r="L96"/>
    </row>
    <row r="97" spans="1:12" ht="12.75" customHeight="1" x14ac:dyDescent="0.25">
      <c r="A97" s="384" t="s">
        <v>7</v>
      </c>
      <c r="B97" s="419" t="s">
        <v>19</v>
      </c>
      <c r="C97" s="435" t="s">
        <v>654</v>
      </c>
      <c r="D97" s="385" t="str">
        <f ca="1">IFERROR(OFFSET(Camp_List[P_Code],MATCH(Data_Vulnerability_t[[#This Row],[Camp Name]],Camp_List[Camp Name],0)-1,0,1,1),"")</f>
        <v>MMR012CMP098</v>
      </c>
      <c r="E97" s="395" t="s">
        <v>935</v>
      </c>
      <c r="F97" s="177">
        <v>49</v>
      </c>
      <c r="G97" s="378" t="s">
        <v>291</v>
      </c>
      <c r="H97" s="396">
        <v>42080</v>
      </c>
      <c r="K97"/>
      <c r="L97"/>
    </row>
    <row r="98" spans="1:12" ht="12.75" customHeight="1" x14ac:dyDescent="0.25">
      <c r="A98" s="384" t="s">
        <v>7</v>
      </c>
      <c r="B98" s="419" t="s">
        <v>19</v>
      </c>
      <c r="C98" s="435" t="s">
        <v>655</v>
      </c>
      <c r="D98" s="385" t="str">
        <f ca="1">IFERROR(OFFSET(Camp_List[P_Code],MATCH(Data_Vulnerability_t[[#This Row],[Camp Name]],Camp_List[Camp Name],0)-1,0,1,1),"")</f>
        <v>MMR012CMP115</v>
      </c>
      <c r="E98" s="395" t="s">
        <v>932</v>
      </c>
      <c r="F98" s="177">
        <v>116</v>
      </c>
      <c r="G98" s="378" t="s">
        <v>291</v>
      </c>
      <c r="H98" s="396">
        <v>42101</v>
      </c>
      <c r="K98"/>
      <c r="L98"/>
    </row>
    <row r="99" spans="1:12" ht="12.75" customHeight="1" x14ac:dyDescent="0.25">
      <c r="A99" s="384" t="s">
        <v>7</v>
      </c>
      <c r="B99" s="419" t="s">
        <v>19</v>
      </c>
      <c r="C99" s="435" t="s">
        <v>655</v>
      </c>
      <c r="D99" s="385" t="str">
        <f ca="1">IFERROR(OFFSET(Camp_List[P_Code],MATCH(Data_Vulnerability_t[[#This Row],[Camp Name]],Camp_List[Camp Name],0)-1,0,1,1),"")</f>
        <v>MMR012CMP115</v>
      </c>
      <c r="E99" s="395" t="s">
        <v>756</v>
      </c>
      <c r="F99" s="177">
        <v>72</v>
      </c>
      <c r="G99" s="378" t="s">
        <v>291</v>
      </c>
      <c r="H99" s="396">
        <v>42101</v>
      </c>
      <c r="K99"/>
      <c r="L99"/>
    </row>
    <row r="100" spans="1:12" ht="12.75" customHeight="1" x14ac:dyDescent="0.25">
      <c r="A100" s="384" t="s">
        <v>7</v>
      </c>
      <c r="B100" s="419" t="s">
        <v>19</v>
      </c>
      <c r="C100" s="435" t="s">
        <v>655</v>
      </c>
      <c r="D100" s="385" t="str">
        <f ca="1">IFERROR(OFFSET(Camp_List[P_Code],MATCH(Data_Vulnerability_t[[#This Row],[Camp Name]],Camp_List[Camp Name],0)-1,0,1,1),"")</f>
        <v>MMR012CMP115</v>
      </c>
      <c r="E100" s="395" t="s">
        <v>755</v>
      </c>
      <c r="F100" s="177">
        <v>133</v>
      </c>
      <c r="G100" s="378" t="s">
        <v>291</v>
      </c>
      <c r="H100" s="396">
        <v>42101</v>
      </c>
      <c r="K100"/>
      <c r="L100"/>
    </row>
    <row r="101" spans="1:12" ht="12.75" customHeight="1" x14ac:dyDescent="0.25">
      <c r="A101" s="384" t="s">
        <v>7</v>
      </c>
      <c r="B101" s="419" t="s">
        <v>19</v>
      </c>
      <c r="C101" s="385" t="s">
        <v>655</v>
      </c>
      <c r="D101" s="385" t="str">
        <f ca="1">IFERROR(OFFSET(Camp_List[P_Code],MATCH(Data_Vulnerability_t[[#This Row],[Camp Name]],Camp_List[Camp Name],0)-1,0,1,1),"")</f>
        <v>MMR012CMP115</v>
      </c>
      <c r="E101" s="395" t="s">
        <v>933</v>
      </c>
      <c r="F101" s="177">
        <v>585</v>
      </c>
      <c r="G101" s="378" t="s">
        <v>291</v>
      </c>
      <c r="H101" s="396">
        <v>42101</v>
      </c>
      <c r="K101"/>
      <c r="L101"/>
    </row>
    <row r="102" spans="1:12" ht="12.75" customHeight="1" x14ac:dyDescent="0.25">
      <c r="A102" s="384" t="s">
        <v>7</v>
      </c>
      <c r="B102" s="419" t="s">
        <v>19</v>
      </c>
      <c r="C102" s="385" t="s">
        <v>655</v>
      </c>
      <c r="D102" s="385" t="str">
        <f ca="1">IFERROR(OFFSET(Camp_List[P_Code],MATCH(Data_Vulnerability_t[[#This Row],[Camp Name]],Camp_List[Camp Name],0)-1,0,1,1),"")</f>
        <v>MMR012CMP115</v>
      </c>
      <c r="E102" s="395" t="s">
        <v>936</v>
      </c>
      <c r="F102" s="177">
        <v>103</v>
      </c>
      <c r="G102" s="378" t="s">
        <v>291</v>
      </c>
      <c r="H102" s="396">
        <v>42101</v>
      </c>
      <c r="K102"/>
      <c r="L102"/>
    </row>
    <row r="103" spans="1:12" ht="12.75" customHeight="1" x14ac:dyDescent="0.25">
      <c r="A103" s="384" t="s">
        <v>7</v>
      </c>
      <c r="B103" s="419" t="s">
        <v>19</v>
      </c>
      <c r="C103" s="385" t="s">
        <v>655</v>
      </c>
      <c r="D103" s="385" t="str">
        <f ca="1">IFERROR(OFFSET(Camp_List[P_Code],MATCH(Data_Vulnerability_t[[#This Row],[Camp Name]],Camp_List[Camp Name],0)-1,0,1,1),"")</f>
        <v>MMR012CMP115</v>
      </c>
      <c r="E103" s="395" t="s">
        <v>934</v>
      </c>
      <c r="F103" s="177">
        <v>94</v>
      </c>
      <c r="G103" s="378" t="s">
        <v>291</v>
      </c>
      <c r="H103" s="396">
        <v>42101</v>
      </c>
      <c r="K103"/>
      <c r="L103"/>
    </row>
    <row r="104" spans="1:12" ht="12.75" customHeight="1" x14ac:dyDescent="0.25">
      <c r="A104" s="384" t="s">
        <v>7</v>
      </c>
      <c r="B104" s="419" t="s">
        <v>19</v>
      </c>
      <c r="C104" s="385" t="s">
        <v>655</v>
      </c>
      <c r="D104" s="385" t="str">
        <f ca="1">IFERROR(OFFSET(Camp_List[P_Code],MATCH(Data_Vulnerability_t[[#This Row],[Camp Name]],Camp_List[Camp Name],0)-1,0,1,1),"")</f>
        <v>MMR012CMP115</v>
      </c>
      <c r="E104" s="395" t="s">
        <v>937</v>
      </c>
      <c r="F104" s="177">
        <v>146</v>
      </c>
      <c r="G104" s="378" t="s">
        <v>291</v>
      </c>
      <c r="H104" s="396">
        <v>42101</v>
      </c>
      <c r="K104"/>
      <c r="L104"/>
    </row>
    <row r="105" spans="1:12" ht="12.75" customHeight="1" x14ac:dyDescent="0.25">
      <c r="A105" s="384" t="s">
        <v>7</v>
      </c>
      <c r="B105" s="419" t="s">
        <v>19</v>
      </c>
      <c r="C105" s="385" t="s">
        <v>655</v>
      </c>
      <c r="D105" s="385" t="str">
        <f ca="1">IFERROR(OFFSET(Camp_List[P_Code],MATCH(Data_Vulnerability_t[[#This Row],[Camp Name]],Camp_List[Camp Name],0)-1,0,1,1),"")</f>
        <v>MMR012CMP115</v>
      </c>
      <c r="E105" s="395" t="s">
        <v>935</v>
      </c>
      <c r="F105" s="177">
        <v>161</v>
      </c>
      <c r="G105" s="378" t="s">
        <v>291</v>
      </c>
      <c r="H105" s="396">
        <v>42101</v>
      </c>
      <c r="K105"/>
      <c r="L105"/>
    </row>
    <row r="106" spans="1:12" ht="12.75" customHeight="1" x14ac:dyDescent="0.25">
      <c r="A106" s="384" t="s">
        <v>7</v>
      </c>
      <c r="B106" s="419" t="s">
        <v>19</v>
      </c>
      <c r="C106" s="385" t="s">
        <v>656</v>
      </c>
      <c r="D106" s="385" t="str">
        <f ca="1">IFERROR(OFFSET(Camp_List[P_Code],MATCH(Data_Vulnerability_t[[#This Row],[Camp Name]],Camp_List[Camp Name],0)-1,0,1,1),"")</f>
        <v>MMR012CMP116</v>
      </c>
      <c r="E106" s="395" t="s">
        <v>932</v>
      </c>
      <c r="F106" s="177">
        <v>10</v>
      </c>
      <c r="G106" s="378" t="s">
        <v>643</v>
      </c>
      <c r="H106" s="396">
        <v>42102</v>
      </c>
      <c r="K106"/>
      <c r="L106"/>
    </row>
    <row r="107" spans="1:12" ht="12.75" customHeight="1" x14ac:dyDescent="0.25">
      <c r="A107" s="384" t="s">
        <v>7</v>
      </c>
      <c r="B107" s="419" t="s">
        <v>19</v>
      </c>
      <c r="C107" s="385" t="s">
        <v>656</v>
      </c>
      <c r="D107" s="385" t="str">
        <f ca="1">IFERROR(OFFSET(Camp_List[P_Code],MATCH(Data_Vulnerability_t[[#This Row],[Camp Name]],Camp_List[Camp Name],0)-1,0,1,1),"")</f>
        <v>MMR012CMP116</v>
      </c>
      <c r="E107" s="395" t="s">
        <v>756</v>
      </c>
      <c r="F107" s="177">
        <v>6</v>
      </c>
      <c r="G107" s="378" t="s">
        <v>643</v>
      </c>
      <c r="H107" s="396">
        <v>42102</v>
      </c>
      <c r="K107"/>
      <c r="L107"/>
    </row>
    <row r="108" spans="1:12" ht="12.75" customHeight="1" x14ac:dyDescent="0.25">
      <c r="A108" s="384" t="s">
        <v>7</v>
      </c>
      <c r="B108" s="419" t="s">
        <v>19</v>
      </c>
      <c r="C108" s="385" t="s">
        <v>656</v>
      </c>
      <c r="D108" s="385" t="str">
        <f ca="1">IFERROR(OFFSET(Camp_List[P_Code],MATCH(Data_Vulnerability_t[[#This Row],[Camp Name]],Camp_List[Camp Name],0)-1,0,1,1),"")</f>
        <v>MMR012CMP116</v>
      </c>
      <c r="E108" s="395" t="s">
        <v>755</v>
      </c>
      <c r="F108" s="177">
        <v>44</v>
      </c>
      <c r="G108" s="378" t="s">
        <v>643</v>
      </c>
      <c r="H108" s="396">
        <v>42102</v>
      </c>
      <c r="K108"/>
      <c r="L108"/>
    </row>
    <row r="109" spans="1:12" ht="12.75" customHeight="1" x14ac:dyDescent="0.25">
      <c r="A109" s="384" t="s">
        <v>7</v>
      </c>
      <c r="B109" s="419" t="s">
        <v>19</v>
      </c>
      <c r="C109" s="385" t="s">
        <v>656</v>
      </c>
      <c r="D109" s="385" t="str">
        <f ca="1">IFERROR(OFFSET(Camp_List[P_Code],MATCH(Data_Vulnerability_t[[#This Row],[Camp Name]],Camp_List[Camp Name],0)-1,0,1,1),"")</f>
        <v>MMR012CMP116</v>
      </c>
      <c r="E109" s="395" t="s">
        <v>933</v>
      </c>
      <c r="F109" s="177">
        <v>200</v>
      </c>
      <c r="G109" s="378" t="s">
        <v>643</v>
      </c>
      <c r="H109" s="396">
        <v>42102</v>
      </c>
      <c r="K109"/>
      <c r="L109"/>
    </row>
    <row r="110" spans="1:12" ht="12.75" customHeight="1" x14ac:dyDescent="0.25">
      <c r="A110" s="384" t="s">
        <v>7</v>
      </c>
      <c r="B110" s="419" t="s">
        <v>19</v>
      </c>
      <c r="C110" s="378" t="s">
        <v>656</v>
      </c>
      <c r="D110" s="385" t="str">
        <f ca="1">IFERROR(OFFSET(Camp_List[P_Code],MATCH(Data_Vulnerability_t[[#This Row],[Camp Name]],Camp_List[Camp Name],0)-1,0,1,1),"")</f>
        <v>MMR012CMP116</v>
      </c>
      <c r="E110" s="395" t="s">
        <v>936</v>
      </c>
      <c r="F110" s="178">
        <v>581</v>
      </c>
      <c r="G110" s="378" t="s">
        <v>643</v>
      </c>
      <c r="H110" s="396">
        <v>42102</v>
      </c>
      <c r="K110"/>
      <c r="L110"/>
    </row>
    <row r="111" spans="1:12" ht="12.75" customHeight="1" x14ac:dyDescent="0.25">
      <c r="A111" s="384" t="s">
        <v>7</v>
      </c>
      <c r="B111" s="419" t="s">
        <v>19</v>
      </c>
      <c r="C111" s="378" t="s">
        <v>656</v>
      </c>
      <c r="D111" s="385" t="str">
        <f ca="1">IFERROR(OFFSET(Camp_List[P_Code],MATCH(Data_Vulnerability_t[[#This Row],[Camp Name]],Camp_List[Camp Name],0)-1,0,1,1),"")</f>
        <v>MMR012CMP116</v>
      </c>
      <c r="E111" s="395" t="s">
        <v>934</v>
      </c>
      <c r="F111" s="178">
        <v>1</v>
      </c>
      <c r="G111" s="378" t="s">
        <v>643</v>
      </c>
      <c r="H111" s="396">
        <v>42102</v>
      </c>
      <c r="K111"/>
      <c r="L111"/>
    </row>
    <row r="112" spans="1:12" ht="12.75" customHeight="1" x14ac:dyDescent="0.25">
      <c r="A112" s="384" t="s">
        <v>7</v>
      </c>
      <c r="B112" s="419" t="s">
        <v>19</v>
      </c>
      <c r="C112" s="378" t="s">
        <v>656</v>
      </c>
      <c r="D112" s="385" t="str">
        <f ca="1">IFERROR(OFFSET(Camp_List[P_Code],MATCH(Data_Vulnerability_t[[#This Row],[Camp Name]],Camp_List[Camp Name],0)-1,0,1,1),"")</f>
        <v>MMR012CMP116</v>
      </c>
      <c r="E112" s="395" t="s">
        <v>937</v>
      </c>
      <c r="F112" s="178">
        <v>33</v>
      </c>
      <c r="G112" s="378" t="s">
        <v>643</v>
      </c>
      <c r="H112" s="396">
        <v>42102</v>
      </c>
      <c r="K112"/>
      <c r="L112"/>
    </row>
    <row r="113" spans="1:12" ht="12.75" customHeight="1" x14ac:dyDescent="0.25">
      <c r="A113" s="384" t="s">
        <v>7</v>
      </c>
      <c r="B113" s="419" t="s">
        <v>19</v>
      </c>
      <c r="C113" s="378" t="s">
        <v>656</v>
      </c>
      <c r="D113" s="385" t="str">
        <f ca="1">IFERROR(OFFSET(Camp_List[P_Code],MATCH(Data_Vulnerability_t[[#This Row],[Camp Name]],Camp_List[Camp Name],0)-1,0,1,1),"")</f>
        <v>MMR012CMP116</v>
      </c>
      <c r="E113" s="395" t="s">
        <v>935</v>
      </c>
      <c r="F113" s="178">
        <v>1</v>
      </c>
      <c r="G113" s="378" t="s">
        <v>643</v>
      </c>
      <c r="H113" s="396">
        <v>42102</v>
      </c>
      <c r="K113"/>
      <c r="L113"/>
    </row>
    <row r="114" spans="1:12" ht="12.75" customHeight="1" x14ac:dyDescent="0.25">
      <c r="A114" s="384" t="s">
        <v>7</v>
      </c>
      <c r="B114" s="419" t="s">
        <v>19</v>
      </c>
      <c r="C114" s="378" t="s">
        <v>659</v>
      </c>
      <c r="D114" s="385" t="str">
        <f ca="1">IFERROR(OFFSET(Camp_List[P_Code],MATCH(Data_Vulnerability_t[[#This Row],[Camp Name]],Camp_List[Camp Name],0)-1,0,1,1),"")</f>
        <v>MMR012CMP111</v>
      </c>
      <c r="E114" s="395" t="s">
        <v>932</v>
      </c>
      <c r="F114" s="178">
        <v>3</v>
      </c>
      <c r="G114" s="378" t="s">
        <v>757</v>
      </c>
      <c r="H114" s="396">
        <v>42088</v>
      </c>
      <c r="K114"/>
      <c r="L114"/>
    </row>
    <row r="115" spans="1:12" ht="12.75" customHeight="1" x14ac:dyDescent="0.25">
      <c r="A115" s="384" t="s">
        <v>7</v>
      </c>
      <c r="B115" s="419" t="s">
        <v>19</v>
      </c>
      <c r="C115" s="378" t="s">
        <v>659</v>
      </c>
      <c r="D115" s="385" t="str">
        <f ca="1">IFERROR(OFFSET(Camp_List[P_Code],MATCH(Data_Vulnerability_t[[#This Row],[Camp Name]],Camp_List[Camp Name],0)-1,0,1,1),"")</f>
        <v>MMR012CMP111</v>
      </c>
      <c r="E115" s="395" t="s">
        <v>756</v>
      </c>
      <c r="F115" s="178"/>
      <c r="G115" s="378" t="s">
        <v>757</v>
      </c>
      <c r="H115" s="396">
        <v>42088</v>
      </c>
      <c r="K115"/>
      <c r="L115"/>
    </row>
    <row r="116" spans="1:12" ht="12.75" customHeight="1" x14ac:dyDescent="0.25">
      <c r="A116" s="384" t="s">
        <v>7</v>
      </c>
      <c r="B116" s="419" t="s">
        <v>19</v>
      </c>
      <c r="C116" s="378" t="s">
        <v>659</v>
      </c>
      <c r="D116" s="385" t="str">
        <f ca="1">IFERROR(OFFSET(Camp_List[P_Code],MATCH(Data_Vulnerability_t[[#This Row],[Camp Name]],Camp_List[Camp Name],0)-1,0,1,1),"")</f>
        <v>MMR012CMP111</v>
      </c>
      <c r="E116" s="395" t="s">
        <v>755</v>
      </c>
      <c r="F116" s="178"/>
      <c r="G116" s="378" t="s">
        <v>757</v>
      </c>
      <c r="H116" s="396">
        <v>42088</v>
      </c>
      <c r="K116"/>
      <c r="L116"/>
    </row>
    <row r="117" spans="1:12" ht="12.75" customHeight="1" x14ac:dyDescent="0.25">
      <c r="A117" s="384" t="s">
        <v>7</v>
      </c>
      <c r="B117" s="419" t="s">
        <v>19</v>
      </c>
      <c r="C117" s="378" t="s">
        <v>659</v>
      </c>
      <c r="D117" s="385" t="str">
        <f ca="1">IFERROR(OFFSET(Camp_List[P_Code],MATCH(Data_Vulnerability_t[[#This Row],[Camp Name]],Camp_List[Camp Name],0)-1,0,1,1),"")</f>
        <v>MMR012CMP111</v>
      </c>
      <c r="E117" s="395" t="s">
        <v>933</v>
      </c>
      <c r="F117" s="178">
        <v>6</v>
      </c>
      <c r="G117" s="378" t="s">
        <v>757</v>
      </c>
      <c r="H117" s="396">
        <v>42088</v>
      </c>
      <c r="K117"/>
      <c r="L117"/>
    </row>
    <row r="118" spans="1:12" ht="12.75" customHeight="1" x14ac:dyDescent="0.25">
      <c r="A118" s="384" t="s">
        <v>7</v>
      </c>
      <c r="B118" s="419" t="s">
        <v>19</v>
      </c>
      <c r="C118" s="378" t="s">
        <v>659</v>
      </c>
      <c r="D118" s="385" t="str">
        <f ca="1">IFERROR(OFFSET(Camp_List[P_Code],MATCH(Data_Vulnerability_t[[#This Row],[Camp Name]],Camp_List[Camp Name],0)-1,0,1,1),"")</f>
        <v>MMR012CMP111</v>
      </c>
      <c r="E118" s="395" t="s">
        <v>936</v>
      </c>
      <c r="F118" s="178">
        <v>10</v>
      </c>
      <c r="G118" s="378" t="s">
        <v>757</v>
      </c>
      <c r="H118" s="396">
        <v>42088</v>
      </c>
      <c r="K118"/>
      <c r="L118"/>
    </row>
    <row r="119" spans="1:12" ht="12.75" customHeight="1" x14ac:dyDescent="0.25">
      <c r="A119" s="384" t="s">
        <v>7</v>
      </c>
      <c r="B119" s="419" t="s">
        <v>19</v>
      </c>
      <c r="C119" s="385" t="s">
        <v>659</v>
      </c>
      <c r="D119" s="385" t="str">
        <f ca="1">IFERROR(OFFSET(Camp_List[P_Code],MATCH(Data_Vulnerability_t[[#This Row],[Camp Name]],Camp_List[Camp Name],0)-1,0,1,1),"")</f>
        <v>MMR012CMP111</v>
      </c>
      <c r="E119" s="395" t="s">
        <v>934</v>
      </c>
      <c r="F119" s="177">
        <v>23</v>
      </c>
      <c r="G119" s="378" t="s">
        <v>757</v>
      </c>
      <c r="H119" s="396">
        <v>42088</v>
      </c>
      <c r="K119"/>
      <c r="L119"/>
    </row>
    <row r="120" spans="1:12" ht="12.75" customHeight="1" x14ac:dyDescent="0.25">
      <c r="A120" s="384" t="s">
        <v>7</v>
      </c>
      <c r="B120" s="419" t="s">
        <v>19</v>
      </c>
      <c r="C120" s="385" t="s">
        <v>659</v>
      </c>
      <c r="D120" s="385" t="str">
        <f ca="1">IFERROR(OFFSET(Camp_List[P_Code],MATCH(Data_Vulnerability_t[[#This Row],[Camp Name]],Camp_List[Camp Name],0)-1,0,1,1),"")</f>
        <v>MMR012CMP111</v>
      </c>
      <c r="E120" s="395" t="s">
        <v>937</v>
      </c>
      <c r="F120" s="177">
        <v>7</v>
      </c>
      <c r="G120" s="378" t="s">
        <v>757</v>
      </c>
      <c r="H120" s="396">
        <v>42088</v>
      </c>
      <c r="K120"/>
      <c r="L120"/>
    </row>
    <row r="121" spans="1:12" ht="12.75" customHeight="1" x14ac:dyDescent="0.25">
      <c r="A121" s="384" t="s">
        <v>7</v>
      </c>
      <c r="B121" s="419" t="s">
        <v>19</v>
      </c>
      <c r="C121" s="385" t="s">
        <v>659</v>
      </c>
      <c r="D121" s="385" t="str">
        <f ca="1">IFERROR(OFFSET(Camp_List[P_Code],MATCH(Data_Vulnerability_t[[#This Row],[Camp Name]],Camp_List[Camp Name],0)-1,0,1,1),"")</f>
        <v>MMR012CMP111</v>
      </c>
      <c r="E121" s="395" t="s">
        <v>935</v>
      </c>
      <c r="F121" s="369">
        <v>21</v>
      </c>
      <c r="G121" s="378" t="s">
        <v>757</v>
      </c>
      <c r="H121" s="396">
        <v>42088</v>
      </c>
      <c r="K121"/>
      <c r="L121"/>
    </row>
    <row r="122" spans="1:12" ht="12.75" customHeight="1" x14ac:dyDescent="0.25">
      <c r="A122" s="384" t="s">
        <v>7</v>
      </c>
      <c r="B122" s="419" t="s">
        <v>19</v>
      </c>
      <c r="C122" s="385" t="s">
        <v>660</v>
      </c>
      <c r="D122" s="385" t="str">
        <f ca="1">IFERROR(OFFSET(Camp_List[P_Code],MATCH(Data_Vulnerability_t[[#This Row],[Camp Name]],Camp_List[Camp Name],0)-1,0,1,1),"")</f>
        <v>MMR012CMP112</v>
      </c>
      <c r="E122" s="395" t="s">
        <v>932</v>
      </c>
      <c r="F122" s="177">
        <v>37</v>
      </c>
      <c r="G122" s="378" t="s">
        <v>288</v>
      </c>
      <c r="H122" s="396">
        <v>42081</v>
      </c>
      <c r="K122"/>
      <c r="L122"/>
    </row>
    <row r="123" spans="1:12" ht="12.75" customHeight="1" x14ac:dyDescent="0.25">
      <c r="A123" s="384" t="s">
        <v>7</v>
      </c>
      <c r="B123" s="419" t="s">
        <v>19</v>
      </c>
      <c r="C123" s="385" t="s">
        <v>660</v>
      </c>
      <c r="D123" s="385" t="str">
        <f ca="1">IFERROR(OFFSET(Camp_List[P_Code],MATCH(Data_Vulnerability_t[[#This Row],[Camp Name]],Camp_List[Camp Name],0)-1,0,1,1),"")</f>
        <v>MMR012CMP112</v>
      </c>
      <c r="E123" s="395" t="s">
        <v>756</v>
      </c>
      <c r="F123" s="369">
        <v>3</v>
      </c>
      <c r="G123" s="378" t="s">
        <v>288</v>
      </c>
      <c r="H123" s="396">
        <v>42081</v>
      </c>
      <c r="K123"/>
      <c r="L123"/>
    </row>
    <row r="124" spans="1:12" ht="12.75" customHeight="1" x14ac:dyDescent="0.25">
      <c r="A124" s="384" t="s">
        <v>7</v>
      </c>
      <c r="B124" s="419" t="s">
        <v>19</v>
      </c>
      <c r="C124" s="385" t="s">
        <v>660</v>
      </c>
      <c r="D124" s="385" t="str">
        <f ca="1">IFERROR(OFFSET(Camp_List[P_Code],MATCH(Data_Vulnerability_t[[#This Row],[Camp Name]],Camp_List[Camp Name],0)-1,0,1,1),"")</f>
        <v>MMR012CMP112</v>
      </c>
      <c r="E124" s="395" t="s">
        <v>755</v>
      </c>
      <c r="F124" s="177">
        <v>3</v>
      </c>
      <c r="G124" s="378" t="s">
        <v>288</v>
      </c>
      <c r="H124" s="396">
        <v>42081</v>
      </c>
      <c r="K124"/>
      <c r="L124"/>
    </row>
    <row r="125" spans="1:12" ht="12.75" customHeight="1" x14ac:dyDescent="0.25">
      <c r="A125" s="384" t="s">
        <v>7</v>
      </c>
      <c r="B125" s="419" t="s">
        <v>19</v>
      </c>
      <c r="C125" s="385" t="s">
        <v>660</v>
      </c>
      <c r="D125" s="385" t="str">
        <f ca="1">IFERROR(OFFSET(Camp_List[P_Code],MATCH(Data_Vulnerability_t[[#This Row],[Camp Name]],Camp_List[Camp Name],0)-1,0,1,1),"")</f>
        <v>MMR012CMP112</v>
      </c>
      <c r="E125" s="395" t="s">
        <v>933</v>
      </c>
      <c r="F125" s="177">
        <v>31</v>
      </c>
      <c r="G125" s="378" t="s">
        <v>288</v>
      </c>
      <c r="H125" s="396">
        <v>42081</v>
      </c>
      <c r="K125"/>
      <c r="L125"/>
    </row>
    <row r="126" spans="1:12" ht="12.75" customHeight="1" x14ac:dyDescent="0.25">
      <c r="A126" s="384" t="s">
        <v>7</v>
      </c>
      <c r="B126" s="419" t="s">
        <v>19</v>
      </c>
      <c r="C126" s="385" t="s">
        <v>660</v>
      </c>
      <c r="D126" s="385" t="str">
        <f ca="1">IFERROR(OFFSET(Camp_List[P_Code],MATCH(Data_Vulnerability_t[[#This Row],[Camp Name]],Camp_List[Camp Name],0)-1,0,1,1),"")</f>
        <v>MMR012CMP112</v>
      </c>
      <c r="E126" s="395" t="s">
        <v>936</v>
      </c>
      <c r="F126" s="177">
        <v>26</v>
      </c>
      <c r="G126" s="378" t="s">
        <v>288</v>
      </c>
      <c r="H126" s="396">
        <v>42081</v>
      </c>
      <c r="K126"/>
      <c r="L126"/>
    </row>
    <row r="127" spans="1:12" ht="12.75" customHeight="1" x14ac:dyDescent="0.25">
      <c r="A127" s="384" t="s">
        <v>7</v>
      </c>
      <c r="B127" s="419" t="s">
        <v>19</v>
      </c>
      <c r="C127" s="385" t="s">
        <v>660</v>
      </c>
      <c r="D127" s="385" t="str">
        <f ca="1">IFERROR(OFFSET(Camp_List[P_Code],MATCH(Data_Vulnerability_t[[#This Row],[Camp Name]],Camp_List[Camp Name],0)-1,0,1,1),"")</f>
        <v>MMR012CMP112</v>
      </c>
      <c r="E127" s="395" t="s">
        <v>934</v>
      </c>
      <c r="F127" s="177">
        <v>89</v>
      </c>
      <c r="G127" s="378" t="s">
        <v>288</v>
      </c>
      <c r="H127" s="396">
        <v>42081</v>
      </c>
      <c r="K127"/>
      <c r="L127"/>
    </row>
    <row r="128" spans="1:12" ht="12.75" customHeight="1" x14ac:dyDescent="0.25">
      <c r="A128" s="384" t="s">
        <v>7</v>
      </c>
      <c r="B128" s="419" t="s">
        <v>19</v>
      </c>
      <c r="C128" s="378" t="s">
        <v>660</v>
      </c>
      <c r="D128" s="385" t="str">
        <f ca="1">IFERROR(OFFSET(Camp_List[P_Code],MATCH(Data_Vulnerability_t[[#This Row],[Camp Name]],Camp_List[Camp Name],0)-1,0,1,1),"")</f>
        <v>MMR012CMP112</v>
      </c>
      <c r="E128" s="395" t="s">
        <v>937</v>
      </c>
      <c r="F128" s="177">
        <v>21</v>
      </c>
      <c r="G128" s="378" t="s">
        <v>288</v>
      </c>
      <c r="H128" s="396">
        <v>42081</v>
      </c>
      <c r="K128"/>
      <c r="L128"/>
    </row>
    <row r="129" spans="1:12" ht="12.75" customHeight="1" x14ac:dyDescent="0.25">
      <c r="A129" s="384" t="s">
        <v>7</v>
      </c>
      <c r="B129" s="419" t="s">
        <v>19</v>
      </c>
      <c r="C129" s="378" t="s">
        <v>660</v>
      </c>
      <c r="D129" s="385" t="str">
        <f ca="1">IFERROR(OFFSET(Camp_List[P_Code],MATCH(Data_Vulnerability_t[[#This Row],[Camp Name]],Camp_List[Camp Name],0)-1,0,1,1),"")</f>
        <v>MMR012CMP112</v>
      </c>
      <c r="E129" s="395" t="s">
        <v>935</v>
      </c>
      <c r="F129" s="177">
        <v>39</v>
      </c>
      <c r="G129" s="378" t="s">
        <v>288</v>
      </c>
      <c r="H129" s="396">
        <v>42081</v>
      </c>
      <c r="K129"/>
      <c r="L129"/>
    </row>
    <row r="130" spans="1:12" ht="12.75" customHeight="1" x14ac:dyDescent="0.25">
      <c r="A130" s="384" t="s">
        <v>7</v>
      </c>
      <c r="B130" s="419" t="s">
        <v>19</v>
      </c>
      <c r="C130" s="378" t="s">
        <v>67</v>
      </c>
      <c r="D130" s="385" t="str">
        <f ca="1">IFERROR(OFFSET(Camp_List[P_Code],MATCH(Data_Vulnerability_t[[#This Row],[Camp Name]],Camp_List[Camp Name],0)-1,0,1,1),"")</f>
        <v>MMR012CMP045</v>
      </c>
      <c r="E130" s="395" t="s">
        <v>932</v>
      </c>
      <c r="F130" s="177">
        <v>54</v>
      </c>
      <c r="G130" s="378" t="s">
        <v>291</v>
      </c>
      <c r="H130" s="396">
        <v>42102</v>
      </c>
      <c r="K130"/>
      <c r="L130"/>
    </row>
    <row r="131" spans="1:12" ht="12.75" customHeight="1" x14ac:dyDescent="0.25">
      <c r="A131" s="384" t="s">
        <v>7</v>
      </c>
      <c r="B131" s="419" t="s">
        <v>19</v>
      </c>
      <c r="C131" s="378" t="s">
        <v>67</v>
      </c>
      <c r="D131" s="385" t="str">
        <f ca="1">IFERROR(OFFSET(Camp_List[P_Code],MATCH(Data_Vulnerability_t[[#This Row],[Camp Name]],Camp_List[Camp Name],0)-1,0,1,1),"")</f>
        <v>MMR012CMP045</v>
      </c>
      <c r="E131" s="395" t="s">
        <v>756</v>
      </c>
      <c r="F131" s="177">
        <v>18</v>
      </c>
      <c r="G131" s="378" t="s">
        <v>291</v>
      </c>
      <c r="H131" s="396">
        <v>42102</v>
      </c>
      <c r="K131"/>
      <c r="L131"/>
    </row>
    <row r="132" spans="1:12" ht="12.75" customHeight="1" x14ac:dyDescent="0.25">
      <c r="A132" s="384" t="s">
        <v>7</v>
      </c>
      <c r="B132" s="419" t="s">
        <v>19</v>
      </c>
      <c r="C132" s="378" t="s">
        <v>67</v>
      </c>
      <c r="D132" s="385" t="str">
        <f ca="1">IFERROR(OFFSET(Camp_List[P_Code],MATCH(Data_Vulnerability_t[[#This Row],[Camp Name]],Camp_List[Camp Name],0)-1,0,1,1),"")</f>
        <v>MMR012CMP045</v>
      </c>
      <c r="E132" s="395" t="s">
        <v>755</v>
      </c>
      <c r="F132" s="177">
        <v>78</v>
      </c>
      <c r="G132" s="378" t="s">
        <v>291</v>
      </c>
      <c r="H132" s="396">
        <v>42102</v>
      </c>
      <c r="K132"/>
      <c r="L132"/>
    </row>
    <row r="133" spans="1:12" ht="12.75" customHeight="1" x14ac:dyDescent="0.25">
      <c r="A133" s="384" t="s">
        <v>7</v>
      </c>
      <c r="B133" s="419" t="s">
        <v>19</v>
      </c>
      <c r="C133" s="378" t="s">
        <v>67</v>
      </c>
      <c r="D133" s="385" t="str">
        <f ca="1">IFERROR(OFFSET(Camp_List[P_Code],MATCH(Data_Vulnerability_t[[#This Row],[Camp Name]],Camp_List[Camp Name],0)-1,0,1,1),"")</f>
        <v>MMR012CMP045</v>
      </c>
      <c r="E133" s="395" t="s">
        <v>933</v>
      </c>
      <c r="F133" s="369">
        <v>466</v>
      </c>
      <c r="G133" s="378" t="s">
        <v>291</v>
      </c>
      <c r="H133" s="396">
        <v>42102</v>
      </c>
      <c r="K133"/>
      <c r="L133"/>
    </row>
    <row r="134" spans="1:12" ht="12.75" customHeight="1" x14ac:dyDescent="0.2">
      <c r="A134" s="384" t="s">
        <v>7</v>
      </c>
      <c r="B134" s="419" t="s">
        <v>19</v>
      </c>
      <c r="C134" s="378" t="s">
        <v>67</v>
      </c>
      <c r="D134" s="385" t="str">
        <f ca="1">IFERROR(OFFSET(Camp_List[P_Code],MATCH(Data_Vulnerability_t[[#This Row],[Camp Name]],Camp_List[Camp Name],0)-1,0,1,1),"")</f>
        <v>MMR012CMP045</v>
      </c>
      <c r="E134" s="395" t="s">
        <v>936</v>
      </c>
      <c r="F134" s="177">
        <v>69</v>
      </c>
      <c r="G134" s="378" t="s">
        <v>291</v>
      </c>
      <c r="H134" s="396">
        <v>42102</v>
      </c>
    </row>
    <row r="135" spans="1:12" ht="12.75" customHeight="1" x14ac:dyDescent="0.2">
      <c r="A135" s="384" t="s">
        <v>7</v>
      </c>
      <c r="B135" s="419" t="s">
        <v>19</v>
      </c>
      <c r="C135" s="378" t="s">
        <v>67</v>
      </c>
      <c r="D135" s="385" t="str">
        <f ca="1">IFERROR(OFFSET(Camp_List[P_Code],MATCH(Data_Vulnerability_t[[#This Row],[Camp Name]],Camp_List[Camp Name],0)-1,0,1,1),"")</f>
        <v>MMR012CMP045</v>
      </c>
      <c r="E135" s="395" t="s">
        <v>934</v>
      </c>
      <c r="F135" s="177">
        <v>26</v>
      </c>
      <c r="G135" s="378" t="s">
        <v>291</v>
      </c>
      <c r="H135" s="396">
        <v>42102</v>
      </c>
    </row>
    <row r="136" spans="1:12" ht="12.75" customHeight="1" x14ac:dyDescent="0.2">
      <c r="A136" s="384" t="s">
        <v>7</v>
      </c>
      <c r="B136" s="419" t="s">
        <v>19</v>
      </c>
      <c r="C136" s="385" t="s">
        <v>67</v>
      </c>
      <c r="D136" s="385" t="str">
        <f ca="1">IFERROR(OFFSET(Camp_List[P_Code],MATCH(Data_Vulnerability_t[[#This Row],[Camp Name]],Camp_List[Camp Name],0)-1,0,1,1),"")</f>
        <v>MMR012CMP045</v>
      </c>
      <c r="E136" s="395" t="s">
        <v>937</v>
      </c>
      <c r="F136" s="177">
        <v>104</v>
      </c>
      <c r="G136" s="378" t="s">
        <v>291</v>
      </c>
      <c r="H136" s="401">
        <v>42102</v>
      </c>
    </row>
    <row r="137" spans="1:12" ht="12.75" customHeight="1" x14ac:dyDescent="0.2">
      <c r="A137" s="384" t="s">
        <v>7</v>
      </c>
      <c r="B137" s="419" t="s">
        <v>19</v>
      </c>
      <c r="C137" s="385" t="s">
        <v>67</v>
      </c>
      <c r="D137" s="385" t="str">
        <f ca="1">IFERROR(OFFSET(Camp_List[P_Code],MATCH(Data_Vulnerability_t[[#This Row],[Camp Name]],Camp_List[Camp Name],0)-1,0,1,1),"")</f>
        <v>MMR012CMP045</v>
      </c>
      <c r="E137" s="395" t="s">
        <v>935</v>
      </c>
      <c r="F137" s="177">
        <v>144</v>
      </c>
      <c r="G137" s="378" t="s">
        <v>291</v>
      </c>
      <c r="H137" s="401">
        <v>42102</v>
      </c>
    </row>
    <row r="138" spans="1:12" ht="12.75" customHeight="1" x14ac:dyDescent="0.2">
      <c r="A138" s="384" t="s">
        <v>7</v>
      </c>
      <c r="B138" s="419" t="s">
        <v>19</v>
      </c>
      <c r="C138" s="385" t="s">
        <v>78</v>
      </c>
      <c r="D138" s="385" t="str">
        <f ca="1">IFERROR(OFFSET(Camp_List[P_Code],MATCH(Data_Vulnerability_t[[#This Row],[Camp Name]],Camp_List[Camp Name],0)-1,0,1,1),"")</f>
        <v>MMR012CMP056</v>
      </c>
      <c r="E138" s="395" t="s">
        <v>932</v>
      </c>
      <c r="F138" s="177">
        <v>0</v>
      </c>
      <c r="G138" s="378" t="s">
        <v>643</v>
      </c>
      <c r="H138" s="401">
        <v>42083</v>
      </c>
    </row>
    <row r="139" spans="1:12" ht="12.75" customHeight="1" x14ac:dyDescent="0.2">
      <c r="A139" s="384" t="s">
        <v>7</v>
      </c>
      <c r="B139" s="419" t="s">
        <v>19</v>
      </c>
      <c r="C139" s="385" t="s">
        <v>78</v>
      </c>
      <c r="D139" s="385" t="str">
        <f ca="1">IFERROR(OFFSET(Camp_List[P_Code],MATCH(Data_Vulnerability_t[[#This Row],[Camp Name]],Camp_List[Camp Name],0)-1,0,1,1),"")</f>
        <v>MMR012CMP056</v>
      </c>
      <c r="E139" s="395" t="s">
        <v>756</v>
      </c>
      <c r="F139" s="177">
        <v>0</v>
      </c>
      <c r="G139" s="378" t="s">
        <v>643</v>
      </c>
      <c r="H139" s="401">
        <v>42083</v>
      </c>
    </row>
    <row r="140" spans="1:12" ht="12.75" customHeight="1" x14ac:dyDescent="0.2">
      <c r="A140" s="384" t="s">
        <v>7</v>
      </c>
      <c r="B140" s="419" t="s">
        <v>19</v>
      </c>
      <c r="C140" s="385" t="s">
        <v>78</v>
      </c>
      <c r="D140" s="465" t="str">
        <f ca="1">IFERROR(OFFSET(Camp_List[P_Code],MATCH(Data_Vulnerability_t[[#This Row],[Camp Name]],Camp_List[Camp Name],0)-1,0,1,1),"")</f>
        <v>MMR012CMP056</v>
      </c>
      <c r="E140" s="395" t="s">
        <v>755</v>
      </c>
      <c r="F140" s="470">
        <v>0</v>
      </c>
      <c r="G140" s="378" t="s">
        <v>643</v>
      </c>
      <c r="H140" s="401">
        <v>42083</v>
      </c>
    </row>
    <row r="141" spans="1:12" ht="12.75" customHeight="1" x14ac:dyDescent="0.2">
      <c r="A141" s="384" t="s">
        <v>7</v>
      </c>
      <c r="B141" s="419" t="s">
        <v>19</v>
      </c>
      <c r="C141" s="385" t="s">
        <v>78</v>
      </c>
      <c r="D141" s="465" t="str">
        <f ca="1">IFERROR(OFFSET(Camp_List[P_Code],MATCH(Data_Vulnerability_t[[#This Row],[Camp Name]],Camp_List[Camp Name],0)-1,0,1,1),"")</f>
        <v>MMR012CMP056</v>
      </c>
      <c r="E141" s="395" t="s">
        <v>933</v>
      </c>
      <c r="F141" s="467">
        <v>3</v>
      </c>
      <c r="G141" s="378" t="s">
        <v>643</v>
      </c>
      <c r="H141" s="401">
        <v>42083</v>
      </c>
    </row>
    <row r="142" spans="1:12" ht="12.75" customHeight="1" x14ac:dyDescent="0.2">
      <c r="A142" s="384" t="s">
        <v>7</v>
      </c>
      <c r="B142" s="419" t="s">
        <v>19</v>
      </c>
      <c r="C142" s="385" t="s">
        <v>78</v>
      </c>
      <c r="D142" s="385" t="str">
        <f ca="1">IFERROR(OFFSET(Camp_List[P_Code],MATCH(Data_Vulnerability_t[[#This Row],[Camp Name]],Camp_List[Camp Name],0)-1,0,1,1),"")</f>
        <v>MMR012CMP056</v>
      </c>
      <c r="E142" s="395" t="s">
        <v>936</v>
      </c>
      <c r="F142" s="177">
        <v>10</v>
      </c>
      <c r="G142" s="378" t="s">
        <v>643</v>
      </c>
      <c r="H142" s="401">
        <v>42083</v>
      </c>
    </row>
    <row r="143" spans="1:12" ht="12.75" customHeight="1" x14ac:dyDescent="0.2">
      <c r="A143" s="384" t="s">
        <v>7</v>
      </c>
      <c r="B143" s="419" t="s">
        <v>19</v>
      </c>
      <c r="C143" s="385" t="s">
        <v>78</v>
      </c>
      <c r="D143" s="385" t="str">
        <f ca="1">IFERROR(OFFSET(Camp_List[P_Code],MATCH(Data_Vulnerability_t[[#This Row],[Camp Name]],Camp_List[Camp Name],0)-1,0,1,1),"")</f>
        <v>MMR012CMP056</v>
      </c>
      <c r="E143" s="395" t="s">
        <v>934</v>
      </c>
      <c r="F143" s="177">
        <v>5</v>
      </c>
      <c r="G143" s="378" t="s">
        <v>643</v>
      </c>
      <c r="H143" s="401">
        <v>42083</v>
      </c>
    </row>
    <row r="144" spans="1:12" ht="12.75" customHeight="1" x14ac:dyDescent="0.2">
      <c r="A144" s="384" t="s">
        <v>7</v>
      </c>
      <c r="B144" s="419" t="s">
        <v>19</v>
      </c>
      <c r="C144" s="385" t="s">
        <v>78</v>
      </c>
      <c r="D144" s="385" t="str">
        <f ca="1">IFERROR(OFFSET(Camp_List[P_Code],MATCH(Data_Vulnerability_t[[#This Row],[Camp Name]],Camp_List[Camp Name],0)-1,0,1,1),"")</f>
        <v>MMR012CMP056</v>
      </c>
      <c r="E144" s="395" t="s">
        <v>937</v>
      </c>
      <c r="F144" s="177">
        <v>7</v>
      </c>
      <c r="G144" s="378" t="s">
        <v>643</v>
      </c>
      <c r="H144" s="396">
        <v>42083</v>
      </c>
    </row>
    <row r="145" spans="1:8" ht="12.75" customHeight="1" x14ac:dyDescent="0.2">
      <c r="A145" s="384" t="s">
        <v>7</v>
      </c>
      <c r="B145" s="419" t="s">
        <v>19</v>
      </c>
      <c r="C145" s="385" t="s">
        <v>78</v>
      </c>
      <c r="D145" s="385" t="str">
        <f ca="1">IFERROR(OFFSET(Camp_List[P_Code],MATCH(Data_Vulnerability_t[[#This Row],[Camp Name]],Camp_List[Camp Name],0)-1,0,1,1),"")</f>
        <v>MMR012CMP056</v>
      </c>
      <c r="E145" s="395" t="s">
        <v>935</v>
      </c>
      <c r="F145" s="177">
        <v>4</v>
      </c>
      <c r="G145" s="378" t="s">
        <v>643</v>
      </c>
      <c r="H145" s="396">
        <v>42083</v>
      </c>
    </row>
    <row r="146" spans="1:8" ht="12.75" customHeight="1" x14ac:dyDescent="0.2">
      <c r="A146" s="384" t="s">
        <v>7</v>
      </c>
      <c r="B146" s="419" t="s">
        <v>19</v>
      </c>
      <c r="C146" s="385" t="s">
        <v>248</v>
      </c>
      <c r="D146" s="385" t="str">
        <f ca="1">IFERROR(OFFSET(Camp_List[P_Code],MATCH(Data_Vulnerability_t[[#This Row],[Camp Name]],Camp_List[Camp Name],0)-1,0,1,1),"")</f>
        <v>MMR012CMP093</v>
      </c>
      <c r="E146" s="395" t="s">
        <v>932</v>
      </c>
      <c r="F146" s="177">
        <v>2</v>
      </c>
      <c r="G146" s="378" t="s">
        <v>643</v>
      </c>
      <c r="H146" s="396">
        <v>42064</v>
      </c>
    </row>
    <row r="147" spans="1:8" ht="12.75" customHeight="1" x14ac:dyDescent="0.2">
      <c r="A147" s="384" t="s">
        <v>7</v>
      </c>
      <c r="B147" s="419" t="s">
        <v>19</v>
      </c>
      <c r="C147" s="385" t="s">
        <v>248</v>
      </c>
      <c r="D147" s="385" t="str">
        <f ca="1">IFERROR(OFFSET(Camp_List[P_Code],MATCH(Data_Vulnerability_t[[#This Row],[Camp Name]],Camp_List[Camp Name],0)-1,0,1,1),"")</f>
        <v>MMR012CMP093</v>
      </c>
      <c r="E147" s="395" t="s">
        <v>756</v>
      </c>
      <c r="F147" s="369">
        <v>0</v>
      </c>
      <c r="G147" s="378" t="s">
        <v>643</v>
      </c>
      <c r="H147" s="396">
        <v>42064</v>
      </c>
    </row>
    <row r="148" spans="1:8" ht="12.75" customHeight="1" x14ac:dyDescent="0.2">
      <c r="A148" s="384" t="s">
        <v>7</v>
      </c>
      <c r="B148" s="419" t="s">
        <v>19</v>
      </c>
      <c r="C148" s="385" t="s">
        <v>248</v>
      </c>
      <c r="D148" s="385" t="str">
        <f ca="1">IFERROR(OFFSET(Camp_List[P_Code],MATCH(Data_Vulnerability_t[[#This Row],[Camp Name]],Camp_List[Camp Name],0)-1,0,1,1),"")</f>
        <v>MMR012CMP093</v>
      </c>
      <c r="E148" s="395" t="s">
        <v>755</v>
      </c>
      <c r="F148" s="177">
        <v>0</v>
      </c>
      <c r="G148" s="378" t="s">
        <v>643</v>
      </c>
      <c r="H148" s="396">
        <v>42064</v>
      </c>
    </row>
    <row r="149" spans="1:8" ht="12.75" customHeight="1" x14ac:dyDescent="0.2">
      <c r="A149" s="384" t="s">
        <v>7</v>
      </c>
      <c r="B149" s="419" t="s">
        <v>19</v>
      </c>
      <c r="C149" s="385" t="s">
        <v>248</v>
      </c>
      <c r="D149" s="385" t="str">
        <f ca="1">IFERROR(OFFSET(Camp_List[P_Code],MATCH(Data_Vulnerability_t[[#This Row],[Camp Name]],Camp_List[Camp Name],0)-1,0,1,1),"")</f>
        <v>MMR012CMP093</v>
      </c>
      <c r="E149" s="395" t="s">
        <v>933</v>
      </c>
      <c r="F149" s="177">
        <v>8</v>
      </c>
      <c r="G149" s="378" t="s">
        <v>643</v>
      </c>
      <c r="H149" s="396">
        <v>42064</v>
      </c>
    </row>
    <row r="150" spans="1:8" ht="12.75" customHeight="1" x14ac:dyDescent="0.2">
      <c r="A150" s="384" t="s">
        <v>7</v>
      </c>
      <c r="B150" s="419" t="s">
        <v>19</v>
      </c>
      <c r="C150" s="385" t="s">
        <v>248</v>
      </c>
      <c r="D150" s="385" t="str">
        <f ca="1">IFERROR(OFFSET(Camp_List[P_Code],MATCH(Data_Vulnerability_t[[#This Row],[Camp Name]],Camp_List[Camp Name],0)-1,0,1,1),"")</f>
        <v>MMR012CMP093</v>
      </c>
      <c r="E150" s="395" t="s">
        <v>936</v>
      </c>
      <c r="F150" s="177">
        <v>32</v>
      </c>
      <c r="G150" s="378" t="s">
        <v>643</v>
      </c>
      <c r="H150" s="396">
        <v>42064</v>
      </c>
    </row>
    <row r="151" spans="1:8" ht="12.75" customHeight="1" x14ac:dyDescent="0.2">
      <c r="A151" s="384" t="s">
        <v>7</v>
      </c>
      <c r="B151" s="419" t="s">
        <v>19</v>
      </c>
      <c r="C151" s="385" t="s">
        <v>248</v>
      </c>
      <c r="D151" s="385" t="str">
        <f ca="1">IFERROR(OFFSET(Camp_List[P_Code],MATCH(Data_Vulnerability_t[[#This Row],[Camp Name]],Camp_List[Camp Name],0)-1,0,1,1),"")</f>
        <v>MMR012CMP093</v>
      </c>
      <c r="E151" s="395" t="s">
        <v>934</v>
      </c>
      <c r="F151" s="177">
        <v>14</v>
      </c>
      <c r="G151" s="378" t="s">
        <v>643</v>
      </c>
      <c r="H151" s="396">
        <v>42064</v>
      </c>
    </row>
    <row r="152" spans="1:8" ht="12.75" customHeight="1" x14ac:dyDescent="0.2">
      <c r="A152" s="384" t="s">
        <v>7</v>
      </c>
      <c r="B152" s="419" t="s">
        <v>19</v>
      </c>
      <c r="C152" s="385" t="s">
        <v>248</v>
      </c>
      <c r="D152" s="385" t="str">
        <f ca="1">IFERROR(OFFSET(Camp_List[P_Code],MATCH(Data_Vulnerability_t[[#This Row],[Camp Name]],Camp_List[Camp Name],0)-1,0,1,1),"")</f>
        <v>MMR012CMP093</v>
      </c>
      <c r="E152" s="395" t="s">
        <v>937</v>
      </c>
      <c r="F152" s="177">
        <v>7</v>
      </c>
      <c r="G152" s="378" t="s">
        <v>643</v>
      </c>
      <c r="H152" s="396">
        <v>42064</v>
      </c>
    </row>
    <row r="153" spans="1:8" ht="12.75" customHeight="1" x14ac:dyDescent="0.2">
      <c r="A153" s="384" t="s">
        <v>7</v>
      </c>
      <c r="B153" s="419" t="s">
        <v>19</v>
      </c>
      <c r="C153" s="385" t="s">
        <v>248</v>
      </c>
      <c r="D153" s="385" t="str">
        <f ca="1">IFERROR(OFFSET(Camp_List[P_Code],MATCH(Data_Vulnerability_t[[#This Row],[Camp Name]],Camp_List[Camp Name],0)-1,0,1,1),"")</f>
        <v>MMR012CMP093</v>
      </c>
      <c r="E153" s="395" t="s">
        <v>935</v>
      </c>
      <c r="F153" s="177">
        <v>3</v>
      </c>
      <c r="G153" s="378" t="s">
        <v>643</v>
      </c>
      <c r="H153" s="396">
        <v>42064</v>
      </c>
    </row>
    <row r="154" spans="1:8" ht="12.75" customHeight="1" x14ac:dyDescent="0.2">
      <c r="A154" s="384" t="s">
        <v>7</v>
      </c>
      <c r="B154" s="419" t="s">
        <v>14</v>
      </c>
      <c r="C154" s="385" t="s">
        <v>43</v>
      </c>
      <c r="D154" s="385" t="str">
        <f ca="1">IFERROR(OFFSET(Camp_List[P_Code],MATCH(Data_Vulnerability_t[[#This Row],[Camp Name]],Camp_List[Camp Name],0)-1,0,1,1),"")</f>
        <v>MMR012CMP019</v>
      </c>
      <c r="E154" s="395" t="s">
        <v>932</v>
      </c>
      <c r="F154" s="177">
        <v>1</v>
      </c>
      <c r="G154" s="378" t="s">
        <v>757</v>
      </c>
      <c r="H154" s="396">
        <v>42212</v>
      </c>
    </row>
    <row r="155" spans="1:8" ht="12.75" customHeight="1" x14ac:dyDescent="0.2">
      <c r="A155" s="384" t="s">
        <v>7</v>
      </c>
      <c r="B155" s="419" t="s">
        <v>14</v>
      </c>
      <c r="C155" s="385" t="s">
        <v>43</v>
      </c>
      <c r="D155" s="385" t="str">
        <f ca="1">IFERROR(OFFSET(Camp_List[P_Code],MATCH(Data_Vulnerability_t[[#This Row],[Camp Name]],Camp_List[Camp Name],0)-1,0,1,1),"")</f>
        <v>MMR012CMP019</v>
      </c>
      <c r="E155" s="395" t="s">
        <v>756</v>
      </c>
      <c r="F155" s="369">
        <v>2</v>
      </c>
      <c r="G155" s="378" t="s">
        <v>757</v>
      </c>
      <c r="H155" s="396">
        <v>42212</v>
      </c>
    </row>
    <row r="156" spans="1:8" ht="12.75" customHeight="1" x14ac:dyDescent="0.2">
      <c r="A156" s="384" t="s">
        <v>7</v>
      </c>
      <c r="B156" s="419" t="s">
        <v>14</v>
      </c>
      <c r="C156" s="385" t="s">
        <v>43</v>
      </c>
      <c r="D156" s="385" t="str">
        <f ca="1">IFERROR(OFFSET(Camp_List[P_Code],MATCH(Data_Vulnerability_t[[#This Row],[Camp Name]],Camp_List[Camp Name],0)-1,0,1,1),"")</f>
        <v>MMR012CMP019</v>
      </c>
      <c r="E156" s="395" t="s">
        <v>755</v>
      </c>
      <c r="F156" s="177"/>
      <c r="G156" s="378" t="s">
        <v>757</v>
      </c>
      <c r="H156" s="396">
        <v>42212</v>
      </c>
    </row>
    <row r="157" spans="1:8" ht="12.75" customHeight="1" x14ac:dyDescent="0.2">
      <c r="A157" s="384" t="s">
        <v>7</v>
      </c>
      <c r="B157" s="419" t="s">
        <v>14</v>
      </c>
      <c r="C157" s="385" t="s">
        <v>43</v>
      </c>
      <c r="D157" s="442" t="str">
        <f ca="1">IFERROR(OFFSET(Camp_List[P_Code],MATCH(Data_Vulnerability_t[[#This Row],[Camp Name]],Camp_List[Camp Name],0)-1,0,1,1),"")</f>
        <v>MMR012CMP019</v>
      </c>
      <c r="E157" s="395" t="s">
        <v>933</v>
      </c>
      <c r="F157" s="177">
        <v>1</v>
      </c>
      <c r="G157" s="378" t="s">
        <v>757</v>
      </c>
      <c r="H157" s="396">
        <v>42212</v>
      </c>
    </row>
    <row r="158" spans="1:8" ht="12.75" customHeight="1" x14ac:dyDescent="0.2">
      <c r="A158" s="384" t="s">
        <v>7</v>
      </c>
      <c r="B158" s="419" t="s">
        <v>14</v>
      </c>
      <c r="C158" s="385" t="s">
        <v>43</v>
      </c>
      <c r="D158" s="442" t="str">
        <f ca="1">IFERROR(OFFSET(Camp_List[P_Code],MATCH(Data_Vulnerability_t[[#This Row],[Camp Name]],Camp_List[Camp Name],0)-1,0,1,1),"")</f>
        <v>MMR012CMP019</v>
      </c>
      <c r="E158" s="395" t="s">
        <v>936</v>
      </c>
      <c r="F158" s="177">
        <v>8</v>
      </c>
      <c r="G158" s="378" t="s">
        <v>757</v>
      </c>
      <c r="H158" s="396">
        <v>42212</v>
      </c>
    </row>
    <row r="159" spans="1:8" ht="12.75" customHeight="1" x14ac:dyDescent="0.2">
      <c r="A159" s="384" t="s">
        <v>7</v>
      </c>
      <c r="B159" s="419" t="s">
        <v>14</v>
      </c>
      <c r="C159" s="385" t="s">
        <v>43</v>
      </c>
      <c r="D159" s="385" t="str">
        <f ca="1">IFERROR(OFFSET(Camp_List[P_Code],MATCH(Data_Vulnerability_t[[#This Row],[Camp Name]],Camp_List[Camp Name],0)-1,0,1,1),"")</f>
        <v>MMR012CMP019</v>
      </c>
      <c r="E159" s="395" t="s">
        <v>934</v>
      </c>
      <c r="F159" s="177">
        <v>17</v>
      </c>
      <c r="G159" s="378" t="s">
        <v>757</v>
      </c>
      <c r="H159" s="396">
        <v>42212</v>
      </c>
    </row>
    <row r="160" spans="1:8" ht="12.75" customHeight="1" x14ac:dyDescent="0.2">
      <c r="A160" s="384" t="s">
        <v>7</v>
      </c>
      <c r="B160" s="419" t="s">
        <v>14</v>
      </c>
      <c r="C160" s="385" t="s">
        <v>43</v>
      </c>
      <c r="D160" s="385" t="str">
        <f ca="1">IFERROR(OFFSET(Camp_List[P_Code],MATCH(Data_Vulnerability_t[[#This Row],[Camp Name]],Camp_List[Camp Name],0)-1,0,1,1),"")</f>
        <v>MMR012CMP019</v>
      </c>
      <c r="E160" s="395" t="s">
        <v>937</v>
      </c>
      <c r="F160" s="177">
        <v>10</v>
      </c>
      <c r="G160" s="378" t="s">
        <v>757</v>
      </c>
      <c r="H160" s="396">
        <v>42212</v>
      </c>
    </row>
    <row r="161" spans="1:8" ht="12.75" customHeight="1" x14ac:dyDescent="0.2">
      <c r="A161" s="384" t="s">
        <v>7</v>
      </c>
      <c r="B161" s="419" t="s">
        <v>14</v>
      </c>
      <c r="C161" s="385" t="s">
        <v>43</v>
      </c>
      <c r="D161" s="385" t="str">
        <f ca="1">IFERROR(OFFSET(Camp_List[P_Code],MATCH(Data_Vulnerability_t[[#This Row],[Camp Name]],Camp_List[Camp Name],0)-1,0,1,1),"")</f>
        <v>MMR012CMP019</v>
      </c>
      <c r="E161" s="395" t="s">
        <v>935</v>
      </c>
      <c r="F161" s="369">
        <v>42</v>
      </c>
      <c r="G161" s="378" t="s">
        <v>757</v>
      </c>
      <c r="H161" s="396">
        <v>42212</v>
      </c>
    </row>
    <row r="162" spans="1:8" ht="12.75" customHeight="1" x14ac:dyDescent="0.2">
      <c r="A162" s="384" t="s">
        <v>7</v>
      </c>
      <c r="B162" s="419" t="s">
        <v>915</v>
      </c>
      <c r="C162" s="385" t="s">
        <v>38</v>
      </c>
      <c r="D162" s="385" t="str">
        <f ca="1">IFERROR(OFFSET(Camp_List[P_Code],MATCH(Data_Vulnerability_t[[#This Row],[Camp Name]],Camp_List[Camp Name],0)-1,0,1,1),"")</f>
        <v>MMR012CMP014</v>
      </c>
      <c r="E162" s="395" t="s">
        <v>932</v>
      </c>
      <c r="F162" s="177">
        <v>68</v>
      </c>
      <c r="G162" s="378" t="s">
        <v>733</v>
      </c>
      <c r="H162" s="396">
        <v>42128</v>
      </c>
    </row>
    <row r="163" spans="1:8" ht="12.75" customHeight="1" x14ac:dyDescent="0.2">
      <c r="A163" s="384" t="s">
        <v>7</v>
      </c>
      <c r="B163" s="419" t="s">
        <v>915</v>
      </c>
      <c r="C163" s="385" t="s">
        <v>38</v>
      </c>
      <c r="D163" s="385" t="str">
        <f ca="1">IFERROR(OFFSET(Camp_List[P_Code],MATCH(Data_Vulnerability_t[[#This Row],[Camp Name]],Camp_List[Camp Name],0)-1,0,1,1),"")</f>
        <v>MMR012CMP014</v>
      </c>
      <c r="E163" s="395" t="s">
        <v>756</v>
      </c>
      <c r="F163" s="177">
        <v>12</v>
      </c>
      <c r="G163" s="378" t="s">
        <v>733</v>
      </c>
      <c r="H163" s="396">
        <v>42128</v>
      </c>
    </row>
    <row r="164" spans="1:8" ht="12.75" customHeight="1" x14ac:dyDescent="0.2">
      <c r="A164" s="384" t="s">
        <v>7</v>
      </c>
      <c r="B164" s="419" t="s">
        <v>915</v>
      </c>
      <c r="C164" s="385" t="s">
        <v>38</v>
      </c>
      <c r="D164" s="385" t="str">
        <f ca="1">IFERROR(OFFSET(Camp_List[P_Code],MATCH(Data_Vulnerability_t[[#This Row],[Camp Name]],Camp_List[Camp Name],0)-1,0,1,1),"")</f>
        <v>MMR012CMP014</v>
      </c>
      <c r="E164" s="395" t="s">
        <v>755</v>
      </c>
      <c r="F164" s="177">
        <v>3</v>
      </c>
      <c r="G164" s="378" t="s">
        <v>733</v>
      </c>
      <c r="H164" s="396">
        <v>42128</v>
      </c>
    </row>
    <row r="165" spans="1:8" ht="12.75" customHeight="1" x14ac:dyDescent="0.2">
      <c r="A165" s="384" t="s">
        <v>7</v>
      </c>
      <c r="B165" s="419" t="s">
        <v>915</v>
      </c>
      <c r="C165" s="385" t="s">
        <v>38</v>
      </c>
      <c r="D165" s="385" t="str">
        <f ca="1">IFERROR(OFFSET(Camp_List[P_Code],MATCH(Data_Vulnerability_t[[#This Row],[Camp Name]],Camp_List[Camp Name],0)-1,0,1,1),"")</f>
        <v>MMR012CMP014</v>
      </c>
      <c r="E165" s="395" t="s">
        <v>933</v>
      </c>
      <c r="F165" s="369">
        <v>70</v>
      </c>
      <c r="G165" s="378" t="s">
        <v>733</v>
      </c>
      <c r="H165" s="396">
        <v>42128</v>
      </c>
    </row>
    <row r="166" spans="1:8" ht="12.75" customHeight="1" x14ac:dyDescent="0.2">
      <c r="A166" s="388" t="s">
        <v>7</v>
      </c>
      <c r="B166" s="473" t="s">
        <v>915</v>
      </c>
      <c r="C166" s="442" t="s">
        <v>38</v>
      </c>
      <c r="D166" s="385" t="str">
        <f ca="1">IFERROR(OFFSET(Camp_List[P_Code],MATCH(Data_Vulnerability_t[[#This Row],[Camp Name]],Camp_List[Camp Name],0)-1,0,1,1),"")</f>
        <v>MMR012CMP014</v>
      </c>
      <c r="E166" s="395" t="s">
        <v>936</v>
      </c>
      <c r="F166" s="369">
        <v>121</v>
      </c>
      <c r="G166" s="443" t="s">
        <v>733</v>
      </c>
      <c r="H166" s="396">
        <v>42128</v>
      </c>
    </row>
    <row r="167" spans="1:8" ht="12.75" customHeight="1" x14ac:dyDescent="0.2">
      <c r="A167" s="384" t="s">
        <v>7</v>
      </c>
      <c r="B167" s="419" t="s">
        <v>915</v>
      </c>
      <c r="C167" s="385" t="s">
        <v>38</v>
      </c>
      <c r="D167" s="385" t="str">
        <f ca="1">IFERROR(OFFSET(Camp_List[P_Code],MATCH(Data_Vulnerability_t[[#This Row],[Camp Name]],Camp_List[Camp Name],0)-1,0,1,1),"")</f>
        <v>MMR012CMP014</v>
      </c>
      <c r="E167" s="395" t="s">
        <v>934</v>
      </c>
      <c r="F167" s="177">
        <v>53</v>
      </c>
      <c r="G167" s="444" t="s">
        <v>733</v>
      </c>
      <c r="H167" s="396">
        <v>42128</v>
      </c>
    </row>
    <row r="168" spans="1:8" ht="12.75" customHeight="1" x14ac:dyDescent="0.2">
      <c r="A168" s="384" t="s">
        <v>7</v>
      </c>
      <c r="B168" s="419" t="s">
        <v>915</v>
      </c>
      <c r="C168" s="385" t="s">
        <v>38</v>
      </c>
      <c r="D168" s="385" t="str">
        <f ca="1">IFERROR(OFFSET(Camp_List[P_Code],MATCH(Data_Vulnerability_t[[#This Row],[Camp Name]],Camp_List[Camp Name],0)-1,0,1,1),"")</f>
        <v>MMR012CMP014</v>
      </c>
      <c r="E168" s="395" t="s">
        <v>937</v>
      </c>
      <c r="F168" s="177">
        <v>34</v>
      </c>
      <c r="G168" s="444" t="s">
        <v>733</v>
      </c>
      <c r="H168" s="396">
        <v>42128</v>
      </c>
    </row>
    <row r="169" spans="1:8" ht="12.75" customHeight="1" x14ac:dyDescent="0.2">
      <c r="A169" s="384" t="s">
        <v>7</v>
      </c>
      <c r="B169" s="419" t="s">
        <v>915</v>
      </c>
      <c r="C169" s="385" t="s">
        <v>38</v>
      </c>
      <c r="D169" s="385" t="str">
        <f ca="1">IFERROR(OFFSET(Camp_List[P_Code],MATCH(Data_Vulnerability_t[[#This Row],[Camp Name]],Camp_List[Camp Name],0)-1,0,1,1),"")</f>
        <v>MMR012CMP014</v>
      </c>
      <c r="E169" s="395" t="s">
        <v>935</v>
      </c>
      <c r="F169" s="177">
        <v>51</v>
      </c>
      <c r="G169" s="444" t="s">
        <v>733</v>
      </c>
      <c r="H169" s="396">
        <v>42128</v>
      </c>
    </row>
    <row r="170" spans="1:8" ht="12.75" customHeight="1" x14ac:dyDescent="0.2">
      <c r="A170" s="384" t="s">
        <v>7</v>
      </c>
      <c r="B170" s="419" t="s">
        <v>19</v>
      </c>
      <c r="C170" s="385" t="s">
        <v>68</v>
      </c>
      <c r="D170" s="385" t="str">
        <f ca="1">IFERROR(OFFSET(Camp_List[P_Code],MATCH(Data_Vulnerability_t[[#This Row],[Camp Name]],Camp_List[Camp Name],0)-1,0,1,1),"")</f>
        <v>MMR012CMP046</v>
      </c>
      <c r="E170" s="395" t="s">
        <v>932</v>
      </c>
      <c r="F170" s="177">
        <v>1</v>
      </c>
      <c r="G170" s="444" t="s">
        <v>643</v>
      </c>
      <c r="H170" s="396">
        <v>42113</v>
      </c>
    </row>
    <row r="171" spans="1:8" ht="12.75" customHeight="1" x14ac:dyDescent="0.2">
      <c r="A171" s="384" t="s">
        <v>7</v>
      </c>
      <c r="B171" s="419" t="s">
        <v>19</v>
      </c>
      <c r="C171" s="385" t="s">
        <v>68</v>
      </c>
      <c r="D171" s="385" t="str">
        <f ca="1">IFERROR(OFFSET(Camp_List[P_Code],MATCH(Data_Vulnerability_t[[#This Row],[Camp Name]],Camp_List[Camp Name],0)-1,0,1,1),"")</f>
        <v>MMR012CMP046</v>
      </c>
      <c r="E171" s="395" t="s">
        <v>756</v>
      </c>
      <c r="F171" s="177">
        <v>4</v>
      </c>
      <c r="G171" s="444" t="s">
        <v>643</v>
      </c>
      <c r="H171" s="396">
        <v>42113</v>
      </c>
    </row>
    <row r="172" spans="1:8" ht="12.75" customHeight="1" x14ac:dyDescent="0.2">
      <c r="A172" s="384" t="s">
        <v>7</v>
      </c>
      <c r="B172" s="419" t="s">
        <v>19</v>
      </c>
      <c r="C172" s="385" t="s">
        <v>68</v>
      </c>
      <c r="D172" s="385" t="str">
        <f ca="1">IFERROR(OFFSET(Camp_List[P_Code],MATCH(Data_Vulnerability_t[[#This Row],[Camp Name]],Camp_List[Camp Name],0)-1,0,1,1),"")</f>
        <v>MMR012CMP046</v>
      </c>
      <c r="E172" s="395" t="s">
        <v>755</v>
      </c>
      <c r="F172" s="177">
        <v>2</v>
      </c>
      <c r="G172" s="444" t="s">
        <v>643</v>
      </c>
      <c r="H172" s="396">
        <v>42113</v>
      </c>
    </row>
    <row r="173" spans="1:8" ht="12.75" customHeight="1" x14ac:dyDescent="0.2">
      <c r="A173" s="384" t="s">
        <v>7</v>
      </c>
      <c r="B173" s="419" t="s">
        <v>19</v>
      </c>
      <c r="C173" s="385" t="s">
        <v>68</v>
      </c>
      <c r="D173" s="385" t="str">
        <f ca="1">IFERROR(OFFSET(Camp_List[P_Code],MATCH(Data_Vulnerability_t[[#This Row],[Camp Name]],Camp_List[Camp Name],0)-1,0,1,1),"")</f>
        <v>MMR012CMP046</v>
      </c>
      <c r="E173" s="395" t="s">
        <v>933</v>
      </c>
      <c r="F173" s="177">
        <v>29</v>
      </c>
      <c r="G173" s="444" t="s">
        <v>643</v>
      </c>
      <c r="H173" s="396">
        <v>42113</v>
      </c>
    </row>
    <row r="174" spans="1:8" ht="12.75" customHeight="1" x14ac:dyDescent="0.2">
      <c r="A174" s="384" t="s">
        <v>7</v>
      </c>
      <c r="B174" s="419" t="s">
        <v>19</v>
      </c>
      <c r="C174" s="385" t="s">
        <v>68</v>
      </c>
      <c r="D174" s="385" t="str">
        <f ca="1">IFERROR(OFFSET(Camp_List[P_Code],MATCH(Data_Vulnerability_t[[#This Row],[Camp Name]],Camp_List[Camp Name],0)-1,0,1,1),"")</f>
        <v>MMR012CMP046</v>
      </c>
      <c r="E174" s="395" t="s">
        <v>936</v>
      </c>
      <c r="F174" s="177">
        <v>639</v>
      </c>
      <c r="G174" s="444" t="s">
        <v>643</v>
      </c>
      <c r="H174" s="396">
        <v>42113</v>
      </c>
    </row>
    <row r="175" spans="1:8" ht="12.75" customHeight="1" x14ac:dyDescent="0.2">
      <c r="A175" s="384" t="s">
        <v>7</v>
      </c>
      <c r="B175" s="419" t="s">
        <v>19</v>
      </c>
      <c r="C175" s="385" t="s">
        <v>68</v>
      </c>
      <c r="D175" s="385" t="str">
        <f ca="1">IFERROR(OFFSET(Camp_List[P_Code],MATCH(Data_Vulnerability_t[[#This Row],[Camp Name]],Camp_List[Camp Name],0)-1,0,1,1),"")</f>
        <v>MMR012CMP046</v>
      </c>
      <c r="E175" s="395" t="s">
        <v>934</v>
      </c>
      <c r="F175" s="177">
        <v>56</v>
      </c>
      <c r="G175" s="444" t="s">
        <v>643</v>
      </c>
      <c r="H175" s="396">
        <v>42113</v>
      </c>
    </row>
    <row r="176" spans="1:8" x14ac:dyDescent="0.2">
      <c r="A176" s="644" t="s">
        <v>7</v>
      </c>
      <c r="B176" s="650" t="s">
        <v>19</v>
      </c>
      <c r="C176" s="177" t="s">
        <v>68</v>
      </c>
      <c r="D176" s="651" t="str">
        <f ca="1">IFERROR(OFFSET(Camp_List[P_Code],MATCH(Data_Vulnerability_t[[#This Row],[Camp Name]],Camp_List[Camp Name],0)-1,0,1,1),"")</f>
        <v>MMR012CMP046</v>
      </c>
      <c r="E176" s="652" t="s">
        <v>937</v>
      </c>
      <c r="F176" s="177">
        <v>63</v>
      </c>
      <c r="G176" s="653" t="s">
        <v>643</v>
      </c>
      <c r="H176" s="401">
        <v>42113</v>
      </c>
    </row>
    <row r="177" spans="1:8" x14ac:dyDescent="0.2">
      <c r="A177" s="644" t="s">
        <v>7</v>
      </c>
      <c r="B177" s="650" t="s">
        <v>19</v>
      </c>
      <c r="C177" s="177" t="s">
        <v>68</v>
      </c>
      <c r="D177" s="651" t="str">
        <f ca="1">IFERROR(OFFSET(Camp_List[P_Code],MATCH(Data_Vulnerability_t[[#This Row],[Camp Name]],Camp_List[Camp Name],0)-1,0,1,1),"")</f>
        <v>MMR012CMP046</v>
      </c>
      <c r="E177" s="652" t="s">
        <v>935</v>
      </c>
      <c r="F177" s="177">
        <v>36</v>
      </c>
      <c r="G177" s="653" t="s">
        <v>643</v>
      </c>
      <c r="H177" s="401">
        <v>42113</v>
      </c>
    </row>
    <row r="178" spans="1:8" x14ac:dyDescent="0.2">
      <c r="A178" s="644" t="s">
        <v>7</v>
      </c>
      <c r="B178" s="650" t="s">
        <v>19</v>
      </c>
      <c r="C178" s="177" t="s">
        <v>70</v>
      </c>
      <c r="D178" s="651" t="str">
        <f ca="1">IFERROR(OFFSET(Camp_List[P_Code],MATCH(Data_Vulnerability_t[[#This Row],[Camp Name]],Camp_List[Camp Name],0)-1,0,1,1),"")</f>
        <v>MMR012CMP048</v>
      </c>
      <c r="E178" s="652" t="s">
        <v>932</v>
      </c>
      <c r="F178" s="177">
        <v>25</v>
      </c>
      <c r="G178" s="653" t="s">
        <v>757</v>
      </c>
      <c r="H178" s="401">
        <v>42171</v>
      </c>
    </row>
    <row r="179" spans="1:8" x14ac:dyDescent="0.2">
      <c r="A179" s="644" t="s">
        <v>7</v>
      </c>
      <c r="B179" s="650" t="s">
        <v>19</v>
      </c>
      <c r="C179" s="177" t="s">
        <v>70</v>
      </c>
      <c r="D179" s="651" t="str">
        <f ca="1">IFERROR(OFFSET(Camp_List[P_Code],MATCH(Data_Vulnerability_t[[#This Row],[Camp Name]],Camp_List[Camp Name],0)-1,0,1,1),"")</f>
        <v>MMR012CMP048</v>
      </c>
      <c r="E179" s="652" t="s">
        <v>756</v>
      </c>
      <c r="F179" s="177">
        <v>12</v>
      </c>
      <c r="G179" s="653" t="s">
        <v>757</v>
      </c>
      <c r="H179" s="401">
        <v>42171</v>
      </c>
    </row>
    <row r="180" spans="1:8" x14ac:dyDescent="0.2">
      <c r="A180" s="644" t="s">
        <v>7</v>
      </c>
      <c r="B180" s="650" t="s">
        <v>19</v>
      </c>
      <c r="C180" s="177" t="s">
        <v>70</v>
      </c>
      <c r="D180" s="651" t="str">
        <f ca="1">IFERROR(OFFSET(Camp_List[P_Code],MATCH(Data_Vulnerability_t[[#This Row],[Camp Name]],Camp_List[Camp Name],0)-1,0,1,1),"")</f>
        <v>MMR012CMP048</v>
      </c>
      <c r="E180" s="652" t="s">
        <v>755</v>
      </c>
      <c r="F180" s="177">
        <v>4</v>
      </c>
      <c r="G180" s="653" t="s">
        <v>757</v>
      </c>
      <c r="H180" s="401">
        <v>42171</v>
      </c>
    </row>
    <row r="181" spans="1:8" x14ac:dyDescent="0.2">
      <c r="A181" s="644" t="s">
        <v>7</v>
      </c>
      <c r="B181" s="650" t="s">
        <v>19</v>
      </c>
      <c r="C181" s="177" t="s">
        <v>70</v>
      </c>
      <c r="D181" s="651" t="str">
        <f ca="1">IFERROR(OFFSET(Camp_List[P_Code],MATCH(Data_Vulnerability_t[[#This Row],[Camp Name]],Camp_List[Camp Name],0)-1,0,1,1),"")</f>
        <v>MMR012CMP048</v>
      </c>
      <c r="E181" s="652" t="s">
        <v>933</v>
      </c>
      <c r="F181" s="177">
        <v>63</v>
      </c>
      <c r="G181" s="653" t="s">
        <v>757</v>
      </c>
      <c r="H181" s="401">
        <v>42171</v>
      </c>
    </row>
    <row r="182" spans="1:8" x14ac:dyDescent="0.2">
      <c r="A182" s="644" t="s">
        <v>7</v>
      </c>
      <c r="B182" s="650" t="s">
        <v>19</v>
      </c>
      <c r="C182" s="177" t="s">
        <v>70</v>
      </c>
      <c r="D182" s="651" t="str">
        <f ca="1">IFERROR(OFFSET(Camp_List[P_Code],MATCH(Data_Vulnerability_t[[#This Row],[Camp Name]],Camp_List[Camp Name],0)-1,0,1,1),"")</f>
        <v>MMR012CMP048</v>
      </c>
      <c r="E182" s="652" t="s">
        <v>936</v>
      </c>
      <c r="F182" s="177">
        <v>49</v>
      </c>
      <c r="G182" s="653" t="s">
        <v>757</v>
      </c>
      <c r="H182" s="401">
        <v>42171</v>
      </c>
    </row>
    <row r="183" spans="1:8" x14ac:dyDescent="0.2">
      <c r="A183" s="644" t="s">
        <v>7</v>
      </c>
      <c r="B183" s="650" t="s">
        <v>19</v>
      </c>
      <c r="C183" s="177" t="s">
        <v>70</v>
      </c>
      <c r="D183" s="651" t="str">
        <f ca="1">IFERROR(OFFSET(Camp_List[P_Code],MATCH(Data_Vulnerability_t[[#This Row],[Camp Name]],Camp_List[Camp Name],0)-1,0,1,1),"")</f>
        <v>MMR012CMP048</v>
      </c>
      <c r="E183" s="652" t="s">
        <v>934</v>
      </c>
      <c r="F183" s="177">
        <v>37</v>
      </c>
      <c r="G183" s="653" t="s">
        <v>757</v>
      </c>
      <c r="H183" s="401">
        <v>42171</v>
      </c>
    </row>
    <row r="184" spans="1:8" x14ac:dyDescent="0.2">
      <c r="A184" s="644" t="s">
        <v>7</v>
      </c>
      <c r="B184" s="650" t="s">
        <v>19</v>
      </c>
      <c r="C184" s="177" t="s">
        <v>70</v>
      </c>
      <c r="D184" s="651" t="str">
        <f ca="1">IFERROR(OFFSET(Camp_List[P_Code],MATCH(Data_Vulnerability_t[[#This Row],[Camp Name]],Camp_List[Camp Name],0)-1,0,1,1),"")</f>
        <v>MMR012CMP048</v>
      </c>
      <c r="E184" s="652" t="s">
        <v>937</v>
      </c>
      <c r="F184" s="177">
        <v>18</v>
      </c>
      <c r="G184" s="653" t="s">
        <v>757</v>
      </c>
      <c r="H184" s="401">
        <v>42171</v>
      </c>
    </row>
    <row r="185" spans="1:8" x14ac:dyDescent="0.2">
      <c r="A185" s="644" t="s">
        <v>7</v>
      </c>
      <c r="B185" s="650" t="s">
        <v>19</v>
      </c>
      <c r="C185" s="177" t="s">
        <v>70</v>
      </c>
      <c r="D185" s="651" t="str">
        <f ca="1">IFERROR(OFFSET(Camp_List[P_Code],MATCH(Data_Vulnerability_t[[#This Row],[Camp Name]],Camp_List[Camp Name],0)-1,0,1,1),"")</f>
        <v>MMR012CMP048</v>
      </c>
      <c r="E185" s="652" t="s">
        <v>935</v>
      </c>
      <c r="F185" s="177">
        <v>107</v>
      </c>
      <c r="G185" s="653" t="s">
        <v>757</v>
      </c>
      <c r="H185" s="401">
        <v>42171</v>
      </c>
    </row>
  </sheetData>
  <dataValidations count="4">
    <dataValidation type="list" allowBlank="1" showInputMessage="1" showErrorMessage="1" sqref="A2:A185">
      <formula1>State</formula1>
    </dataValidation>
    <dataValidation type="list" showInputMessage="1" showErrorMessage="1" sqref="B2:B185">
      <formula1>INDIRECT(A2)</formula1>
    </dataValidation>
    <dataValidation type="list" errorStyle="warning" showInputMessage="1" showErrorMessage="1" sqref="C2:C185">
      <formula1>OFFSET(TCL_T1,MATCH(B2,TCL_T,0)-1,1,COUNTIF(TCL_T,B2),1)</formula1>
    </dataValidation>
    <dataValidation type="list" allowBlank="1" showInputMessage="1" showErrorMessage="1" sqref="E2:E185">
      <formula1>Vulnerability</formula1>
    </dataValidation>
  </dataValidations>
  <pageMargins left="0.7" right="0.7" top="0.75" bottom="0.75" header="0.3" footer="0.3"/>
  <pageSetup paperSize="9" orientation="portrait" r:id="rId2"/>
  <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21"/>
  <sheetViews>
    <sheetView showZeros="0" zoomScale="70" zoomScaleNormal="70" workbookViewId="0">
      <pane ySplit="1" topLeftCell="A2" activePane="bottomLeft" state="frozen"/>
      <selection activeCell="Q16" sqref="Q16"/>
      <selection pane="bottomLeft" activeCell="H33" sqref="H33"/>
    </sheetView>
  </sheetViews>
  <sheetFormatPr defaultColWidth="9.140625" defaultRowHeight="15" x14ac:dyDescent="0.25"/>
  <cols>
    <col min="1" max="1" width="21" style="6" customWidth="1"/>
    <col min="2" max="2" width="22.42578125" style="6" customWidth="1"/>
    <col min="3" max="3" width="21.140625" style="6" customWidth="1"/>
    <col min="4" max="4" width="22.42578125" style="6" customWidth="1"/>
    <col min="5" max="5" width="17.42578125" style="6" customWidth="1"/>
    <col min="6" max="6" width="22.42578125" style="6" customWidth="1"/>
    <col min="7" max="7" width="16.85546875" style="6" customWidth="1"/>
    <col min="8" max="8" width="9.28515625" style="6" customWidth="1"/>
    <col min="9" max="9" width="15" style="6" customWidth="1"/>
    <col min="10" max="10" width="9.28515625" style="6" customWidth="1"/>
    <col min="11" max="11" width="1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2851562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70" customFormat="1" ht="36" x14ac:dyDescent="0.25">
      <c r="A1" s="207"/>
      <c r="B1" s="208"/>
      <c r="C1" s="208"/>
      <c r="D1" s="208"/>
      <c r="E1" s="208"/>
      <c r="F1" s="208"/>
      <c r="G1" s="208"/>
      <c r="H1" s="208"/>
      <c r="I1" s="208"/>
      <c r="J1" s="224"/>
      <c r="K1" s="6"/>
      <c r="L1" s="6"/>
      <c r="M1" s="6"/>
      <c r="N1" s="6"/>
      <c r="O1" s="6"/>
      <c r="P1" s="6"/>
      <c r="Q1" s="6"/>
      <c r="R1" s="6"/>
      <c r="BC1" s="3"/>
      <c r="BD1" s="3"/>
    </row>
    <row r="2" spans="1:56" s="1" customFormat="1" ht="63.75" customHeight="1" x14ac:dyDescent="0.25">
      <c r="A2" s="225" t="s">
        <v>817</v>
      </c>
      <c r="B2" s="226"/>
      <c r="C2" s="226"/>
      <c r="D2" s="226"/>
      <c r="E2" s="226"/>
      <c r="F2" s="226"/>
      <c r="G2" s="226"/>
      <c r="H2" s="226"/>
      <c r="I2" s="226"/>
      <c r="J2" s="227"/>
      <c r="K2" s="6"/>
      <c r="L2" s="6"/>
      <c r="M2" s="6"/>
      <c r="N2" s="6"/>
      <c r="O2" s="6"/>
      <c r="P2" s="6"/>
      <c r="Q2" s="6"/>
      <c r="R2" s="6"/>
      <c r="BC2" s="80"/>
      <c r="BD2" s="80"/>
    </row>
    <row r="3" spans="1:56" s="21" customFormat="1" ht="18" customHeight="1" x14ac:dyDescent="0.25">
      <c r="A3" s="765">
        <f>Report_Date</f>
        <v>42339</v>
      </c>
      <c r="B3" s="765"/>
      <c r="C3" s="6"/>
      <c r="D3" s="6"/>
      <c r="E3" s="6"/>
      <c r="F3" s="6"/>
      <c r="G3" s="6"/>
      <c r="H3" s="6"/>
      <c r="I3" s="6"/>
      <c r="J3" s="6"/>
      <c r="K3" s="6"/>
      <c r="L3" s="6"/>
      <c r="M3" s="6"/>
      <c r="N3" s="6"/>
      <c r="O3" s="6"/>
      <c r="P3" s="6"/>
      <c r="Q3" s="6"/>
      <c r="R3" s="6"/>
      <c r="BC3" s="81"/>
      <c r="BD3" s="81"/>
    </row>
    <row r="4" spans="1:56" x14ac:dyDescent="0.25">
      <c r="A4" s="725" t="s">
        <v>10</v>
      </c>
      <c r="B4" s="725" t="s">
        <v>7</v>
      </c>
      <c r="C4" s="6" t="s">
        <v>220</v>
      </c>
    </row>
    <row r="6" spans="1:56" x14ac:dyDescent="0.25">
      <c r="A6" s="716" t="s">
        <v>214</v>
      </c>
      <c r="B6" s="717" t="s">
        <v>216</v>
      </c>
      <c r="C6" s="717" t="s">
        <v>218</v>
      </c>
      <c r="D6" s="718" t="s">
        <v>217</v>
      </c>
      <c r="M6" s="9" t="s">
        <v>10</v>
      </c>
      <c r="N6" s="6" t="s">
        <v>7</v>
      </c>
      <c r="O6" s="6" t="s">
        <v>220</v>
      </c>
    </row>
    <row r="7" spans="1:56" x14ac:dyDescent="0.25">
      <c r="A7" s="719" t="s">
        <v>359</v>
      </c>
      <c r="B7" s="720">
        <v>50</v>
      </c>
      <c r="C7" s="720"/>
      <c r="D7" s="721"/>
      <c r="T7"/>
      <c r="U7"/>
    </row>
    <row r="8" spans="1:56" x14ac:dyDescent="0.25">
      <c r="A8" s="719" t="s">
        <v>20</v>
      </c>
      <c r="B8" s="720">
        <v>11</v>
      </c>
      <c r="C8" s="720"/>
      <c r="D8" s="721"/>
      <c r="M8" s="9" t="s">
        <v>214</v>
      </c>
      <c r="N8" s="6" t="s">
        <v>217</v>
      </c>
      <c r="O8"/>
      <c r="T8"/>
      <c r="U8"/>
    </row>
    <row r="9" spans="1:56" x14ac:dyDescent="0.25">
      <c r="A9" s="719" t="s">
        <v>11</v>
      </c>
      <c r="B9" s="720">
        <v>2</v>
      </c>
      <c r="C9" s="720"/>
      <c r="D9" s="721"/>
      <c r="M9" s="7" t="s">
        <v>19</v>
      </c>
      <c r="N9" s="8">
        <v>99208</v>
      </c>
      <c r="O9"/>
      <c r="T9"/>
      <c r="U9"/>
    </row>
    <row r="10" spans="1:56" x14ac:dyDescent="0.25">
      <c r="A10" s="719" t="s">
        <v>12</v>
      </c>
      <c r="B10" s="720">
        <v>1</v>
      </c>
      <c r="C10" s="720"/>
      <c r="D10" s="721"/>
      <c r="M10" s="7" t="s">
        <v>14</v>
      </c>
      <c r="N10" s="8">
        <v>19545</v>
      </c>
      <c r="O10"/>
      <c r="T10"/>
      <c r="U10"/>
    </row>
    <row r="11" spans="1:56" x14ac:dyDescent="0.25">
      <c r="A11" s="719" t="s">
        <v>14</v>
      </c>
      <c r="B11" s="720">
        <v>1</v>
      </c>
      <c r="C11" s="720"/>
      <c r="D11" s="721"/>
      <c r="M11" s="7" t="s">
        <v>15</v>
      </c>
      <c r="N11" s="8">
        <v>6512</v>
      </c>
      <c r="O11"/>
      <c r="T11"/>
      <c r="U11"/>
    </row>
    <row r="12" spans="1:56" x14ac:dyDescent="0.25">
      <c r="A12" s="719" t="s">
        <v>19</v>
      </c>
      <c r="B12" s="720">
        <v>35</v>
      </c>
      <c r="C12" s="720"/>
      <c r="D12" s="721"/>
      <c r="M12" s="7" t="s">
        <v>11</v>
      </c>
      <c r="N12" s="8">
        <v>5638</v>
      </c>
      <c r="O12"/>
      <c r="T12"/>
      <c r="U12"/>
    </row>
    <row r="13" spans="1:56" x14ac:dyDescent="0.25">
      <c r="A13" s="719" t="s">
        <v>358</v>
      </c>
      <c r="B13" s="720">
        <v>67</v>
      </c>
      <c r="C13" s="720">
        <v>28015</v>
      </c>
      <c r="D13" s="721">
        <v>145062</v>
      </c>
      <c r="M13" s="7" t="s">
        <v>16</v>
      </c>
      <c r="N13" s="8">
        <v>4055</v>
      </c>
      <c r="O13"/>
      <c r="T13"/>
      <c r="U13"/>
    </row>
    <row r="14" spans="1:56" x14ac:dyDescent="0.25">
      <c r="A14" s="719" t="s">
        <v>17</v>
      </c>
      <c r="B14" s="720">
        <v>2</v>
      </c>
      <c r="C14" s="720">
        <v>492</v>
      </c>
      <c r="D14" s="721">
        <v>1601</v>
      </c>
      <c r="M14" s="7" t="s">
        <v>12</v>
      </c>
      <c r="N14" s="8">
        <v>3826</v>
      </c>
      <c r="O14"/>
      <c r="T14"/>
      <c r="U14"/>
    </row>
    <row r="15" spans="1:56" x14ac:dyDescent="0.25">
      <c r="A15" s="719" t="s">
        <v>15</v>
      </c>
      <c r="B15" s="720">
        <v>11</v>
      </c>
      <c r="C15" s="720">
        <v>1001</v>
      </c>
      <c r="D15" s="721">
        <v>6512</v>
      </c>
      <c r="M15" s="7" t="s">
        <v>915</v>
      </c>
      <c r="N15" s="8">
        <v>3013</v>
      </c>
      <c r="O15"/>
      <c r="T15"/>
      <c r="U15"/>
    </row>
    <row r="16" spans="1:56" x14ac:dyDescent="0.25">
      <c r="A16" s="719" t="s">
        <v>20</v>
      </c>
      <c r="B16" s="720">
        <v>9</v>
      </c>
      <c r="C16" s="720">
        <v>219</v>
      </c>
      <c r="D16" s="721">
        <v>1400</v>
      </c>
      <c r="M16" s="7" t="s">
        <v>17</v>
      </c>
      <c r="N16" s="8">
        <v>1601</v>
      </c>
      <c r="O16"/>
      <c r="T16"/>
      <c r="U16"/>
    </row>
    <row r="17" spans="1:21" x14ac:dyDescent="0.25">
      <c r="A17" s="719" t="s">
        <v>11</v>
      </c>
      <c r="B17" s="720">
        <v>7</v>
      </c>
      <c r="C17" s="720">
        <v>911</v>
      </c>
      <c r="D17" s="721">
        <v>5638</v>
      </c>
      <c r="M17" s="7" t="s">
        <v>20</v>
      </c>
      <c r="N17" s="8">
        <v>1400</v>
      </c>
      <c r="O17"/>
      <c r="T17"/>
      <c r="U17"/>
    </row>
    <row r="18" spans="1:21" x14ac:dyDescent="0.25">
      <c r="A18" s="719" t="s">
        <v>12</v>
      </c>
      <c r="B18" s="720">
        <v>4</v>
      </c>
      <c r="C18" s="720">
        <v>610</v>
      </c>
      <c r="D18" s="721">
        <v>3826</v>
      </c>
      <c r="M18" s="7" t="s">
        <v>18</v>
      </c>
      <c r="N18" s="8">
        <v>264</v>
      </c>
      <c r="O18"/>
      <c r="T18"/>
      <c r="U18"/>
    </row>
    <row r="19" spans="1:21" x14ac:dyDescent="0.25">
      <c r="A19" s="719" t="s">
        <v>14</v>
      </c>
      <c r="B19" s="720">
        <v>5</v>
      </c>
      <c r="C19" s="720">
        <v>4684</v>
      </c>
      <c r="D19" s="721">
        <v>19545</v>
      </c>
      <c r="M19" s="10" t="s">
        <v>215</v>
      </c>
      <c r="N19" s="11">
        <v>145062</v>
      </c>
      <c r="O19"/>
      <c r="T19"/>
      <c r="U19"/>
    </row>
    <row r="20" spans="1:21" x14ac:dyDescent="0.25">
      <c r="A20" s="719" t="s">
        <v>18</v>
      </c>
      <c r="B20" s="720">
        <v>2</v>
      </c>
      <c r="C20" s="720">
        <v>78</v>
      </c>
      <c r="D20" s="721">
        <v>264</v>
      </c>
      <c r="M20"/>
      <c r="N20"/>
      <c r="O20"/>
      <c r="T20"/>
      <c r="U20"/>
    </row>
    <row r="21" spans="1:21" x14ac:dyDescent="0.25">
      <c r="A21" s="719" t="s">
        <v>16</v>
      </c>
      <c r="B21" s="720">
        <v>5</v>
      </c>
      <c r="C21" s="720">
        <v>747</v>
      </c>
      <c r="D21" s="721">
        <v>4055</v>
      </c>
      <c r="M21"/>
      <c r="N21"/>
      <c r="O21"/>
      <c r="T21"/>
      <c r="U21"/>
    </row>
    <row r="22" spans="1:21" x14ac:dyDescent="0.25">
      <c r="A22" s="719" t="s">
        <v>19</v>
      </c>
      <c r="B22" s="720">
        <v>20</v>
      </c>
      <c r="C22" s="720">
        <v>18549</v>
      </c>
      <c r="D22" s="721">
        <v>99208</v>
      </c>
      <c r="M22"/>
      <c r="N22"/>
      <c r="O22"/>
      <c r="T22"/>
      <c r="U22"/>
    </row>
    <row r="23" spans="1:21" x14ac:dyDescent="0.25">
      <c r="A23" s="719" t="s">
        <v>915</v>
      </c>
      <c r="B23" s="720">
        <v>2</v>
      </c>
      <c r="C23" s="720">
        <v>724</v>
      </c>
      <c r="D23" s="721">
        <v>3013</v>
      </c>
      <c r="M23"/>
      <c r="N23"/>
      <c r="O23"/>
      <c r="T23"/>
      <c r="U23"/>
    </row>
    <row r="24" spans="1:21" x14ac:dyDescent="0.25">
      <c r="A24" s="722" t="s">
        <v>215</v>
      </c>
      <c r="B24" s="723">
        <v>117</v>
      </c>
      <c r="C24" s="723">
        <v>28015</v>
      </c>
      <c r="D24" s="724">
        <v>145062</v>
      </c>
      <c r="M24"/>
      <c r="N24"/>
      <c r="T24"/>
      <c r="U24"/>
    </row>
    <row r="25" spans="1:21" x14ac:dyDescent="0.25">
      <c r="M25"/>
      <c r="N25"/>
      <c r="T25"/>
      <c r="U25"/>
    </row>
    <row r="26" spans="1:21" x14ac:dyDescent="0.25">
      <c r="T26"/>
      <c r="U26"/>
    </row>
    <row r="27" spans="1:21" x14ac:dyDescent="0.25">
      <c r="A27" s="514" t="s">
        <v>355</v>
      </c>
      <c r="B27" s="514" t="s">
        <v>358</v>
      </c>
      <c r="T27"/>
      <c r="U27"/>
    </row>
    <row r="28" spans="1:21" x14ac:dyDescent="0.25">
      <c r="A28"/>
      <c r="B28"/>
      <c r="C28"/>
      <c r="T28"/>
      <c r="U28"/>
    </row>
    <row r="29" spans="1:21" x14ac:dyDescent="0.25">
      <c r="A29" s="221"/>
      <c r="B29" s="520" t="s">
        <v>691</v>
      </c>
      <c r="C29" s="222"/>
      <c r="D29" s="223"/>
      <c r="T29"/>
      <c r="U29"/>
    </row>
    <row r="30" spans="1:21" x14ac:dyDescent="0.25">
      <c r="A30" s="196"/>
      <c r="B30" s="1" t="s">
        <v>687</v>
      </c>
      <c r="C30" s="1" t="s">
        <v>688</v>
      </c>
      <c r="D30" s="203" t="s">
        <v>215</v>
      </c>
      <c r="T30"/>
      <c r="U30"/>
    </row>
    <row r="31" spans="1:21" x14ac:dyDescent="0.25">
      <c r="A31" s="205" t="s">
        <v>750</v>
      </c>
      <c r="B31" s="303">
        <v>92389</v>
      </c>
      <c r="C31" s="303">
        <v>52673</v>
      </c>
      <c r="D31" s="510">
        <v>145062</v>
      </c>
      <c r="T31"/>
      <c r="U31"/>
    </row>
    <row r="32" spans="1:21" x14ac:dyDescent="0.25">
      <c r="T32" s="102"/>
      <c r="U32" s="102"/>
    </row>
    <row r="33" spans="1:21" x14ac:dyDescent="0.25">
      <c r="T33"/>
      <c r="U33"/>
    </row>
    <row r="34" spans="1:21" x14ac:dyDescent="0.25">
      <c r="T34" s="102"/>
      <c r="U34" s="102"/>
    </row>
    <row r="35" spans="1:21" x14ac:dyDescent="0.25">
      <c r="H35"/>
      <c r="T35"/>
      <c r="U35"/>
    </row>
    <row r="36" spans="1:21" x14ac:dyDescent="0.25">
      <c r="A36" s="220" t="s">
        <v>355</v>
      </c>
      <c r="B36" s="31" t="s">
        <v>358</v>
      </c>
      <c r="H36" s="521" t="s">
        <v>355</v>
      </c>
      <c r="I36" s="217" t="s">
        <v>358</v>
      </c>
      <c r="T36"/>
      <c r="U36"/>
    </row>
    <row r="37" spans="1:21" x14ac:dyDescent="0.25">
      <c r="A37" s="102"/>
      <c r="B37" s="102"/>
      <c r="C37"/>
      <c r="H37" s="102"/>
      <c r="I37" s="102"/>
      <c r="T37"/>
      <c r="U37"/>
    </row>
    <row r="38" spans="1:21" x14ac:dyDescent="0.25">
      <c r="A38" s="221"/>
      <c r="B38" s="520" t="s">
        <v>691</v>
      </c>
      <c r="C38" s="222"/>
      <c r="D38" s="222"/>
      <c r="E38" s="222"/>
      <c r="F38" s="223"/>
      <c r="H38" s="522" t="s">
        <v>550</v>
      </c>
      <c r="I38" s="520" t="s">
        <v>691</v>
      </c>
      <c r="J38" s="222"/>
      <c r="K38" s="223"/>
      <c r="L38"/>
      <c r="M38"/>
      <c r="T38"/>
      <c r="U38"/>
    </row>
    <row r="39" spans="1:21" x14ac:dyDescent="0.25">
      <c r="A39" s="196"/>
      <c r="B39" s="1" t="s">
        <v>790</v>
      </c>
      <c r="C39" s="1" t="s">
        <v>798</v>
      </c>
      <c r="D39" s="1" t="s">
        <v>807</v>
      </c>
      <c r="E39" s="1" t="s">
        <v>834</v>
      </c>
      <c r="F39" s="203" t="s">
        <v>215</v>
      </c>
      <c r="H39" s="523" t="s">
        <v>214</v>
      </c>
      <c r="I39" s="1" t="s">
        <v>687</v>
      </c>
      <c r="J39" s="1" t="s">
        <v>688</v>
      </c>
      <c r="K39" s="203" t="s">
        <v>215</v>
      </c>
      <c r="L39"/>
      <c r="M39"/>
      <c r="T39"/>
      <c r="U39"/>
    </row>
    <row r="40" spans="1:21" x14ac:dyDescent="0.25">
      <c r="A40" s="205" t="s">
        <v>550</v>
      </c>
      <c r="B40" s="303">
        <v>5076</v>
      </c>
      <c r="C40" s="303">
        <v>2668</v>
      </c>
      <c r="D40" s="303">
        <v>136792</v>
      </c>
      <c r="E40" s="303">
        <v>526</v>
      </c>
      <c r="F40" s="510">
        <v>145062</v>
      </c>
      <c r="H40" s="524" t="s">
        <v>288</v>
      </c>
      <c r="I40" s="66"/>
      <c r="J40" s="66">
        <v>49660</v>
      </c>
      <c r="K40" s="525">
        <v>49660</v>
      </c>
      <c r="L40"/>
      <c r="M40"/>
      <c r="T40"/>
      <c r="U40"/>
    </row>
    <row r="41" spans="1:21" x14ac:dyDescent="0.25">
      <c r="H41" s="524" t="s">
        <v>291</v>
      </c>
      <c r="I41" s="66">
        <v>49179</v>
      </c>
      <c r="J41" s="66"/>
      <c r="K41" s="525">
        <v>49179</v>
      </c>
      <c r="L41"/>
      <c r="M41"/>
      <c r="T41"/>
      <c r="U41"/>
    </row>
    <row r="42" spans="1:21" x14ac:dyDescent="0.25">
      <c r="H42" s="524" t="s">
        <v>643</v>
      </c>
      <c r="I42" s="66">
        <v>43210</v>
      </c>
      <c r="J42" s="66"/>
      <c r="K42" s="525">
        <v>43210</v>
      </c>
      <c r="L42"/>
      <c r="M42"/>
      <c r="T42"/>
      <c r="U42"/>
    </row>
    <row r="43" spans="1:21" x14ac:dyDescent="0.25">
      <c r="H43" s="524" t="s">
        <v>733</v>
      </c>
      <c r="I43" s="66"/>
      <c r="J43" s="66">
        <v>3013</v>
      </c>
      <c r="K43" s="525">
        <v>3013</v>
      </c>
      <c r="T43"/>
      <c r="U43"/>
    </row>
    <row r="44" spans="1:21" x14ac:dyDescent="0.25">
      <c r="H44" s="526" t="s">
        <v>215</v>
      </c>
      <c r="I44" s="303">
        <v>92389</v>
      </c>
      <c r="J44" s="303">
        <v>52673</v>
      </c>
      <c r="K44" s="510">
        <v>145062</v>
      </c>
      <c r="T44"/>
      <c r="U44"/>
    </row>
    <row r="45" spans="1:21" x14ac:dyDescent="0.25">
      <c r="H45"/>
      <c r="I45"/>
      <c r="J45"/>
      <c r="K45"/>
      <c r="T45"/>
      <c r="U45"/>
    </row>
    <row r="46" spans="1:21" x14ac:dyDescent="0.25">
      <c r="T46"/>
      <c r="U46"/>
    </row>
    <row r="47" spans="1:21" x14ac:dyDescent="0.25">
      <c r="T47"/>
      <c r="U47"/>
    </row>
    <row r="48" spans="1:21" x14ac:dyDescent="0.25">
      <c r="A48" s="220" t="s">
        <v>355</v>
      </c>
      <c r="B48" s="31" t="s">
        <v>358</v>
      </c>
      <c r="T48"/>
      <c r="U48"/>
    </row>
    <row r="49" spans="1:33" customFormat="1" x14ac:dyDescent="0.25">
      <c r="A49" s="220" t="s">
        <v>24</v>
      </c>
      <c r="B49" s="31" t="s">
        <v>799</v>
      </c>
      <c r="C49" s="6"/>
      <c r="D49" s="6"/>
      <c r="E49" s="6"/>
      <c r="F49" s="6"/>
      <c r="G49" s="6"/>
      <c r="H49" s="6"/>
      <c r="I49" s="6"/>
      <c r="J49" s="6"/>
      <c r="K49" s="6"/>
      <c r="L49" s="6"/>
      <c r="M49" s="6"/>
      <c r="N49" s="6"/>
      <c r="O49" s="6"/>
      <c r="P49" s="6"/>
      <c r="Q49" s="6"/>
      <c r="R49" s="6"/>
    </row>
    <row r="50" spans="1:33" customFormat="1" x14ac:dyDescent="0.25">
      <c r="C50" s="6"/>
      <c r="D50" s="6"/>
      <c r="E50" s="6"/>
      <c r="F50" s="6"/>
      <c r="G50" s="6"/>
      <c r="H50" s="6"/>
      <c r="I50" s="6"/>
      <c r="J50" s="6"/>
      <c r="K50" s="6"/>
      <c r="L50" s="6"/>
      <c r="M50" s="6"/>
      <c r="N50" s="6"/>
      <c r="O50" s="6"/>
      <c r="P50" s="6"/>
      <c r="Q50" s="6"/>
      <c r="R50" s="6"/>
    </row>
    <row r="51" spans="1:33" customFormat="1" x14ac:dyDescent="0.25">
      <c r="A51" s="522" t="s">
        <v>550</v>
      </c>
      <c r="B51" s="520" t="s">
        <v>691</v>
      </c>
      <c r="C51" s="222"/>
      <c r="D51" s="222"/>
      <c r="E51" s="222"/>
      <c r="F51" s="223"/>
      <c r="G51" s="6"/>
      <c r="H51" s="6"/>
      <c r="I51" s="6"/>
      <c r="J51" s="6"/>
      <c r="K51" s="6"/>
      <c r="L51" s="6"/>
      <c r="M51" s="6"/>
      <c r="N51" s="6"/>
      <c r="O51" s="6"/>
      <c r="P51" s="6"/>
      <c r="Q51" s="6"/>
      <c r="R51" s="6"/>
    </row>
    <row r="52" spans="1:33" customFormat="1" x14ac:dyDescent="0.25">
      <c r="A52" s="523" t="s">
        <v>214</v>
      </c>
      <c r="B52" s="1" t="s">
        <v>790</v>
      </c>
      <c r="C52" s="1" t="s">
        <v>798</v>
      </c>
      <c r="D52" s="1" t="s">
        <v>807</v>
      </c>
      <c r="E52" s="1" t="s">
        <v>834</v>
      </c>
      <c r="F52" s="203" t="s">
        <v>215</v>
      </c>
      <c r="G52" s="6"/>
      <c r="H52" s="6"/>
      <c r="I52" s="6"/>
      <c r="J52" s="6"/>
      <c r="K52" s="6"/>
      <c r="L52" s="6"/>
      <c r="M52" s="6"/>
      <c r="N52" s="6"/>
      <c r="O52" s="6"/>
      <c r="P52" s="6"/>
      <c r="Q52" s="6"/>
      <c r="R52" s="6"/>
    </row>
    <row r="53" spans="1:33" customFormat="1" x14ac:dyDescent="0.25">
      <c r="A53" s="524" t="s">
        <v>14</v>
      </c>
      <c r="B53" s="511">
        <v>122</v>
      </c>
      <c r="C53" s="511">
        <v>2668</v>
      </c>
      <c r="D53" s="511">
        <v>16755</v>
      </c>
      <c r="E53" s="511"/>
      <c r="F53" s="529">
        <v>19545</v>
      </c>
      <c r="G53" s="6"/>
      <c r="H53" s="6"/>
      <c r="I53" s="6"/>
      <c r="J53" s="6"/>
      <c r="K53" s="6"/>
      <c r="L53" s="6"/>
      <c r="M53" s="6"/>
      <c r="N53" s="6"/>
      <c r="O53" s="6"/>
      <c r="P53" s="6"/>
      <c r="Q53" s="6"/>
      <c r="R53" s="6"/>
    </row>
    <row r="54" spans="1:33" customFormat="1" x14ac:dyDescent="0.25">
      <c r="A54" s="530" t="s">
        <v>40</v>
      </c>
      <c r="B54" s="511"/>
      <c r="C54" s="511"/>
      <c r="D54" s="511">
        <v>4218</v>
      </c>
      <c r="E54" s="511"/>
      <c r="F54" s="529">
        <v>4218</v>
      </c>
      <c r="G54" s="6"/>
      <c r="H54" s="6"/>
      <c r="I54" s="6"/>
      <c r="J54" s="6"/>
      <c r="K54" s="6"/>
      <c r="L54" s="6"/>
      <c r="M54" s="6"/>
      <c r="N54" s="6"/>
      <c r="O54" s="6"/>
      <c r="P54" s="6"/>
      <c r="Q54" s="6"/>
      <c r="R54" s="6"/>
    </row>
    <row r="55" spans="1:33" customFormat="1" x14ac:dyDescent="0.25">
      <c r="A55" s="530" t="s">
        <v>39</v>
      </c>
      <c r="B55" s="511">
        <v>122</v>
      </c>
      <c r="C55" s="511"/>
      <c r="D55" s="511"/>
      <c r="E55" s="511"/>
      <c r="F55" s="529">
        <v>122</v>
      </c>
      <c r="G55" s="6"/>
      <c r="H55" s="6"/>
      <c r="I55" s="6"/>
      <c r="J55" s="6"/>
      <c r="K55" s="6"/>
      <c r="L55" s="6"/>
      <c r="M55" s="6"/>
      <c r="N55" s="6"/>
      <c r="O55" s="6"/>
      <c r="P55" s="6"/>
      <c r="Q55" s="6"/>
      <c r="R55" s="6"/>
    </row>
    <row r="56" spans="1:33" customFormat="1" x14ac:dyDescent="0.25">
      <c r="A56" s="530" t="s">
        <v>42</v>
      </c>
      <c r="B56" s="511"/>
      <c r="C56" s="511"/>
      <c r="D56" s="511">
        <v>5060</v>
      </c>
      <c r="E56" s="511"/>
      <c r="F56" s="529">
        <v>5060</v>
      </c>
      <c r="G56" s="6"/>
      <c r="H56" s="6"/>
      <c r="I56" s="6"/>
      <c r="J56" s="6"/>
      <c r="K56" s="6"/>
      <c r="L56" s="6"/>
      <c r="M56" s="6"/>
      <c r="N56" s="6"/>
      <c r="O56" s="6"/>
      <c r="P56" s="6"/>
      <c r="Q56" s="6"/>
      <c r="R56" s="6"/>
    </row>
    <row r="57" spans="1:33" customFormat="1" x14ac:dyDescent="0.25">
      <c r="A57" s="530" t="s">
        <v>41</v>
      </c>
      <c r="B57" s="511"/>
      <c r="C57" s="511"/>
      <c r="D57" s="511">
        <v>7477</v>
      </c>
      <c r="E57" s="511"/>
      <c r="F57" s="529">
        <v>7477</v>
      </c>
      <c r="G57" s="6"/>
      <c r="H57" s="6"/>
      <c r="I57" s="6"/>
      <c r="J57" s="6"/>
      <c r="K57" s="6"/>
      <c r="L57" s="6"/>
      <c r="M57" s="6"/>
      <c r="N57" s="6"/>
      <c r="O57" s="6"/>
      <c r="P57" s="6"/>
      <c r="Q57" s="6"/>
      <c r="R57" s="6"/>
    </row>
    <row r="58" spans="1:33" x14ac:dyDescent="0.25">
      <c r="A58" s="530" t="s">
        <v>43</v>
      </c>
      <c r="B58" s="511"/>
      <c r="C58" s="511">
        <v>2668</v>
      </c>
      <c r="D58" s="511"/>
      <c r="E58" s="511"/>
      <c r="F58" s="529">
        <v>2668</v>
      </c>
      <c r="S58"/>
      <c r="T58"/>
      <c r="U58"/>
      <c r="V58"/>
      <c r="W58"/>
      <c r="X58"/>
      <c r="Y58"/>
      <c r="Z58"/>
      <c r="AA58"/>
      <c r="AB58"/>
      <c r="AC58"/>
      <c r="AD58"/>
      <c r="AE58"/>
      <c r="AF58"/>
      <c r="AG58"/>
    </row>
    <row r="59" spans="1:33" x14ac:dyDescent="0.25">
      <c r="A59" s="524" t="s">
        <v>19</v>
      </c>
      <c r="B59" s="511">
        <v>4122</v>
      </c>
      <c r="C59" s="511"/>
      <c r="D59" s="511">
        <v>88478</v>
      </c>
      <c r="E59" s="511">
        <v>462</v>
      </c>
      <c r="F59" s="529">
        <v>93062</v>
      </c>
      <c r="T59"/>
      <c r="U59"/>
    </row>
    <row r="60" spans="1:33" x14ac:dyDescent="0.25">
      <c r="A60" s="530" t="s">
        <v>61</v>
      </c>
      <c r="B60" s="511"/>
      <c r="C60" s="511"/>
      <c r="D60" s="511">
        <v>2049</v>
      </c>
      <c r="E60" s="511"/>
      <c r="F60" s="529">
        <v>2049</v>
      </c>
      <c r="T60"/>
      <c r="U60"/>
    </row>
    <row r="61" spans="1:33" x14ac:dyDescent="0.25">
      <c r="A61" s="530" t="s">
        <v>650</v>
      </c>
      <c r="B61" s="511"/>
      <c r="C61" s="511"/>
      <c r="D61" s="511">
        <v>4851</v>
      </c>
      <c r="E61" s="511"/>
      <c r="F61" s="529">
        <v>4851</v>
      </c>
      <c r="T61"/>
      <c r="U61"/>
    </row>
    <row r="62" spans="1:33" x14ac:dyDescent="0.25">
      <c r="A62" s="530" t="s">
        <v>651</v>
      </c>
      <c r="B62" s="511"/>
      <c r="C62" s="511"/>
      <c r="D62" s="511">
        <v>6917</v>
      </c>
      <c r="E62" s="511"/>
      <c r="F62" s="529">
        <v>6917</v>
      </c>
      <c r="T62"/>
      <c r="U62"/>
    </row>
    <row r="63" spans="1:33" x14ac:dyDescent="0.25">
      <c r="A63" s="530" t="s">
        <v>63</v>
      </c>
      <c r="B63" s="511"/>
      <c r="C63" s="511"/>
      <c r="D63" s="511">
        <v>8189</v>
      </c>
      <c r="E63" s="511"/>
      <c r="F63" s="529">
        <v>8189</v>
      </c>
      <c r="T63"/>
      <c r="U63"/>
    </row>
    <row r="64" spans="1:33" x14ac:dyDescent="0.25">
      <c r="A64" s="530" t="s">
        <v>64</v>
      </c>
      <c r="B64" s="511"/>
      <c r="C64" s="511"/>
      <c r="D64" s="511">
        <v>4354</v>
      </c>
      <c r="E64" s="511"/>
      <c r="F64" s="529">
        <v>4354</v>
      </c>
      <c r="T64"/>
      <c r="U64"/>
    </row>
    <row r="65" spans="1:21" x14ac:dyDescent="0.25">
      <c r="A65" s="530" t="s">
        <v>649</v>
      </c>
      <c r="B65" s="511"/>
      <c r="C65" s="511"/>
      <c r="D65" s="511">
        <v>3352</v>
      </c>
      <c r="E65" s="511"/>
      <c r="F65" s="529">
        <v>3352</v>
      </c>
      <c r="T65"/>
      <c r="U65"/>
    </row>
    <row r="66" spans="1:21" x14ac:dyDescent="0.25">
      <c r="A66" s="530" t="s">
        <v>654</v>
      </c>
      <c r="B66" s="511"/>
      <c r="C66" s="511"/>
      <c r="D66" s="511">
        <v>3389</v>
      </c>
      <c r="E66" s="511"/>
      <c r="F66" s="529">
        <v>3389</v>
      </c>
      <c r="T66"/>
      <c r="U66"/>
    </row>
    <row r="67" spans="1:21" x14ac:dyDescent="0.25">
      <c r="A67" s="530" t="s">
        <v>655</v>
      </c>
      <c r="B67" s="511"/>
      <c r="C67" s="511"/>
      <c r="D67" s="511">
        <v>13655</v>
      </c>
      <c r="E67" s="511"/>
      <c r="F67" s="529">
        <v>13655</v>
      </c>
      <c r="T67"/>
      <c r="U67"/>
    </row>
    <row r="68" spans="1:21" x14ac:dyDescent="0.25">
      <c r="A68" s="530" t="s">
        <v>656</v>
      </c>
      <c r="B68" s="511"/>
      <c r="C68" s="511"/>
      <c r="D68" s="511">
        <v>12225</v>
      </c>
      <c r="E68" s="511"/>
      <c r="F68" s="529">
        <v>12225</v>
      </c>
      <c r="T68"/>
      <c r="U68"/>
    </row>
    <row r="69" spans="1:21" x14ac:dyDescent="0.25">
      <c r="A69" s="530" t="s">
        <v>659</v>
      </c>
      <c r="B69" s="511">
        <v>1282</v>
      </c>
      <c r="C69" s="511"/>
      <c r="D69" s="511"/>
      <c r="E69" s="511"/>
      <c r="F69" s="529">
        <v>1282</v>
      </c>
      <c r="T69"/>
      <c r="U69"/>
    </row>
    <row r="70" spans="1:21" x14ac:dyDescent="0.25">
      <c r="A70" s="530" t="s">
        <v>660</v>
      </c>
      <c r="B70" s="511">
        <v>2200</v>
      </c>
      <c r="C70" s="511"/>
      <c r="D70" s="511"/>
      <c r="E70" s="511"/>
      <c r="F70" s="529">
        <v>2200</v>
      </c>
    </row>
    <row r="71" spans="1:21" x14ac:dyDescent="0.25">
      <c r="A71" s="530" t="s">
        <v>67</v>
      </c>
      <c r="B71" s="511"/>
      <c r="C71" s="511"/>
      <c r="D71" s="511">
        <v>12178</v>
      </c>
      <c r="E71" s="511"/>
      <c r="F71" s="529">
        <v>12178</v>
      </c>
    </row>
    <row r="72" spans="1:21" x14ac:dyDescent="0.25">
      <c r="A72" s="530" t="s">
        <v>78</v>
      </c>
      <c r="B72" s="511"/>
      <c r="C72" s="511"/>
      <c r="D72" s="511"/>
      <c r="E72" s="511">
        <v>462</v>
      </c>
      <c r="F72" s="529">
        <v>462</v>
      </c>
    </row>
    <row r="73" spans="1:21" x14ac:dyDescent="0.25">
      <c r="A73" s="530" t="s">
        <v>248</v>
      </c>
      <c r="B73" s="511">
        <v>640</v>
      </c>
      <c r="C73" s="511"/>
      <c r="D73" s="511"/>
      <c r="E73" s="511"/>
      <c r="F73" s="529">
        <v>640</v>
      </c>
    </row>
    <row r="74" spans="1:21" x14ac:dyDescent="0.25">
      <c r="A74" s="530" t="s">
        <v>68</v>
      </c>
      <c r="B74" s="511"/>
      <c r="C74" s="511"/>
      <c r="D74" s="511">
        <v>11663</v>
      </c>
      <c r="E74" s="511"/>
      <c r="F74" s="529">
        <v>11663</v>
      </c>
    </row>
    <row r="75" spans="1:21" x14ac:dyDescent="0.25">
      <c r="A75" s="530" t="s">
        <v>70</v>
      </c>
      <c r="B75" s="511"/>
      <c r="C75" s="511"/>
      <c r="D75" s="511">
        <v>5656</v>
      </c>
      <c r="E75" s="511"/>
      <c r="F75" s="529">
        <v>5656</v>
      </c>
    </row>
    <row r="76" spans="1:21" x14ac:dyDescent="0.25">
      <c r="A76" s="524" t="s">
        <v>915</v>
      </c>
      <c r="B76" s="511">
        <v>198</v>
      </c>
      <c r="C76" s="511"/>
      <c r="D76" s="511">
        <v>2815</v>
      </c>
      <c r="E76" s="511"/>
      <c r="F76" s="529">
        <v>3013</v>
      </c>
    </row>
    <row r="77" spans="1:21" x14ac:dyDescent="0.25">
      <c r="A77" s="530" t="s">
        <v>37</v>
      </c>
      <c r="B77" s="511">
        <v>198</v>
      </c>
      <c r="C77" s="511"/>
      <c r="D77" s="511"/>
      <c r="E77" s="511"/>
      <c r="F77" s="529">
        <v>198</v>
      </c>
    </row>
    <row r="78" spans="1:21" x14ac:dyDescent="0.25">
      <c r="A78" s="530" t="s">
        <v>38</v>
      </c>
      <c r="B78" s="511"/>
      <c r="C78" s="511"/>
      <c r="D78" s="511">
        <v>2815</v>
      </c>
      <c r="E78" s="511"/>
      <c r="F78" s="529">
        <v>2815</v>
      </c>
    </row>
    <row r="79" spans="1:21" x14ac:dyDescent="0.25">
      <c r="A79" s="526" t="s">
        <v>215</v>
      </c>
      <c r="B79" s="512">
        <v>4442</v>
      </c>
      <c r="C79" s="512">
        <v>2668</v>
      </c>
      <c r="D79" s="512">
        <v>108048</v>
      </c>
      <c r="E79" s="512">
        <v>462</v>
      </c>
      <c r="F79" s="531">
        <v>115620</v>
      </c>
    </row>
    <row r="86" spans="1:9" x14ac:dyDescent="0.25">
      <c r="A86" s="527" t="s">
        <v>355</v>
      </c>
      <c r="B86" s="528" t="s">
        <v>358</v>
      </c>
    </row>
    <row r="87" spans="1:9" x14ac:dyDescent="0.25">
      <c r="A87" s="527" t="s">
        <v>800</v>
      </c>
      <c r="B87" s="528" t="s">
        <v>674</v>
      </c>
    </row>
    <row r="89" spans="1:9" x14ac:dyDescent="0.25">
      <c r="A89" s="522" t="s">
        <v>550</v>
      </c>
      <c r="B89" s="520" t="s">
        <v>691</v>
      </c>
      <c r="C89" s="222"/>
      <c r="D89" s="222"/>
      <c r="E89" s="222"/>
      <c r="F89" s="222"/>
      <c r="G89" s="222"/>
      <c r="H89" s="222"/>
      <c r="I89" s="223"/>
    </row>
    <row r="90" spans="1:9" x14ac:dyDescent="0.25">
      <c r="A90" s="196"/>
      <c r="B90" s="1" t="s">
        <v>681</v>
      </c>
      <c r="C90" s="1" t="s">
        <v>791</v>
      </c>
      <c r="D90" s="1" t="s">
        <v>7</v>
      </c>
      <c r="E90" s="1" t="s">
        <v>792</v>
      </c>
      <c r="F90" s="1" t="s">
        <v>805</v>
      </c>
      <c r="G90" s="1"/>
      <c r="H90" s="1" t="s">
        <v>806</v>
      </c>
      <c r="I90" s="203" t="s">
        <v>215</v>
      </c>
    </row>
    <row r="91" spans="1:9" x14ac:dyDescent="0.25">
      <c r="A91" s="523" t="s">
        <v>214</v>
      </c>
      <c r="B91" s="1" t="s">
        <v>23</v>
      </c>
      <c r="C91" s="1"/>
      <c r="D91" s="1" t="s">
        <v>23</v>
      </c>
      <c r="E91" s="1"/>
      <c r="F91" s="1" t="s">
        <v>23</v>
      </c>
      <c r="G91" s="1" t="s">
        <v>854</v>
      </c>
      <c r="H91" s="1"/>
      <c r="I91" s="203"/>
    </row>
    <row r="92" spans="1:9" x14ac:dyDescent="0.25">
      <c r="A92" s="524" t="s">
        <v>15</v>
      </c>
      <c r="B92" s="511"/>
      <c r="C92" s="511"/>
      <c r="D92" s="511"/>
      <c r="E92" s="511"/>
      <c r="F92" s="511">
        <v>1088</v>
      </c>
      <c r="G92" s="511">
        <v>5424</v>
      </c>
      <c r="H92" s="511">
        <v>6512</v>
      </c>
      <c r="I92" s="529">
        <v>6512</v>
      </c>
    </row>
    <row r="93" spans="1:9" x14ac:dyDescent="0.25">
      <c r="A93" s="530" t="s">
        <v>49</v>
      </c>
      <c r="B93" s="511"/>
      <c r="C93" s="511"/>
      <c r="D93" s="511"/>
      <c r="E93" s="511"/>
      <c r="F93" s="511"/>
      <c r="G93" s="511">
        <v>84</v>
      </c>
      <c r="H93" s="511">
        <v>84</v>
      </c>
      <c r="I93" s="529">
        <v>84</v>
      </c>
    </row>
    <row r="94" spans="1:9" x14ac:dyDescent="0.25">
      <c r="A94" s="530" t="s">
        <v>46</v>
      </c>
      <c r="B94" s="511"/>
      <c r="C94" s="511"/>
      <c r="D94" s="511"/>
      <c r="E94" s="511"/>
      <c r="F94" s="511"/>
      <c r="G94" s="511">
        <v>140</v>
      </c>
      <c r="H94" s="511">
        <v>140</v>
      </c>
      <c r="I94" s="529">
        <v>140</v>
      </c>
    </row>
    <row r="95" spans="1:9" x14ac:dyDescent="0.25">
      <c r="A95" s="530" t="s">
        <v>44</v>
      </c>
      <c r="B95" s="511"/>
      <c r="C95" s="511"/>
      <c r="D95" s="511"/>
      <c r="E95" s="511"/>
      <c r="F95" s="511"/>
      <c r="G95" s="511">
        <v>157</v>
      </c>
      <c r="H95" s="511">
        <v>157</v>
      </c>
      <c r="I95" s="529">
        <v>157</v>
      </c>
    </row>
    <row r="96" spans="1:9" x14ac:dyDescent="0.25">
      <c r="A96" s="530" t="s">
        <v>45</v>
      </c>
      <c r="B96" s="511"/>
      <c r="C96" s="511"/>
      <c r="D96" s="511"/>
      <c r="E96" s="511"/>
      <c r="F96" s="511"/>
      <c r="G96" s="511">
        <v>414</v>
      </c>
      <c r="H96" s="511">
        <v>414</v>
      </c>
      <c r="I96" s="529">
        <v>414</v>
      </c>
    </row>
    <row r="97" spans="1:9" x14ac:dyDescent="0.25">
      <c r="A97" s="530" t="s">
        <v>47</v>
      </c>
      <c r="B97" s="511"/>
      <c r="C97" s="511"/>
      <c r="D97" s="511"/>
      <c r="E97" s="511"/>
      <c r="F97" s="511">
        <v>531</v>
      </c>
      <c r="G97" s="511"/>
      <c r="H97" s="511">
        <v>531</v>
      </c>
      <c r="I97" s="529">
        <v>531</v>
      </c>
    </row>
    <row r="98" spans="1:9" x14ac:dyDescent="0.25">
      <c r="A98" s="530" t="s">
        <v>54</v>
      </c>
      <c r="B98" s="511"/>
      <c r="C98" s="511"/>
      <c r="D98" s="511"/>
      <c r="E98" s="511"/>
      <c r="F98" s="511">
        <v>557</v>
      </c>
      <c r="G98" s="511"/>
      <c r="H98" s="511">
        <v>557</v>
      </c>
      <c r="I98" s="529">
        <v>557</v>
      </c>
    </row>
    <row r="99" spans="1:9" x14ac:dyDescent="0.25">
      <c r="A99" s="530" t="s">
        <v>48</v>
      </c>
      <c r="B99" s="511"/>
      <c r="C99" s="511"/>
      <c r="D99" s="511"/>
      <c r="E99" s="511"/>
      <c r="F99" s="511"/>
      <c r="G99" s="511">
        <v>559</v>
      </c>
      <c r="H99" s="511">
        <v>559</v>
      </c>
      <c r="I99" s="529">
        <v>559</v>
      </c>
    </row>
    <row r="100" spans="1:9" x14ac:dyDescent="0.25">
      <c r="A100" s="530" t="s">
        <v>52</v>
      </c>
      <c r="B100" s="511"/>
      <c r="C100" s="511"/>
      <c r="D100" s="511"/>
      <c r="E100" s="511"/>
      <c r="F100" s="511"/>
      <c r="G100" s="511">
        <v>738</v>
      </c>
      <c r="H100" s="511">
        <v>738</v>
      </c>
      <c r="I100" s="529">
        <v>738</v>
      </c>
    </row>
    <row r="101" spans="1:9" x14ac:dyDescent="0.25">
      <c r="A101" s="530" t="s">
        <v>51</v>
      </c>
      <c r="B101" s="511"/>
      <c r="C101" s="511"/>
      <c r="D101" s="511"/>
      <c r="E101" s="511"/>
      <c r="F101" s="511"/>
      <c r="G101" s="511">
        <v>802</v>
      </c>
      <c r="H101" s="511">
        <v>802</v>
      </c>
      <c r="I101" s="529">
        <v>802</v>
      </c>
    </row>
    <row r="102" spans="1:9" x14ac:dyDescent="0.25">
      <c r="A102" s="530" t="s">
        <v>53</v>
      </c>
      <c r="B102" s="511"/>
      <c r="C102" s="511"/>
      <c r="D102" s="511"/>
      <c r="E102" s="511"/>
      <c r="F102" s="511"/>
      <c r="G102" s="511">
        <v>1006</v>
      </c>
      <c r="H102" s="511">
        <v>1006</v>
      </c>
      <c r="I102" s="529">
        <v>1006</v>
      </c>
    </row>
    <row r="103" spans="1:9" x14ac:dyDescent="0.25">
      <c r="A103" s="530" t="s">
        <v>50</v>
      </c>
      <c r="B103" s="511"/>
      <c r="C103" s="511"/>
      <c r="D103" s="511"/>
      <c r="E103" s="511"/>
      <c r="F103" s="511"/>
      <c r="G103" s="511">
        <v>1524</v>
      </c>
      <c r="H103" s="511">
        <v>1524</v>
      </c>
      <c r="I103" s="529">
        <v>1524</v>
      </c>
    </row>
    <row r="104" spans="1:9" x14ac:dyDescent="0.25">
      <c r="A104" s="524" t="s">
        <v>11</v>
      </c>
      <c r="B104" s="511"/>
      <c r="C104" s="511"/>
      <c r="D104" s="511">
        <v>72</v>
      </c>
      <c r="E104" s="511">
        <v>72</v>
      </c>
      <c r="F104" s="511"/>
      <c r="G104" s="511">
        <v>5566</v>
      </c>
      <c r="H104" s="511">
        <v>5566</v>
      </c>
      <c r="I104" s="529">
        <v>5638</v>
      </c>
    </row>
    <row r="105" spans="1:9" x14ac:dyDescent="0.25">
      <c r="A105" s="530" t="s">
        <v>574</v>
      </c>
      <c r="B105" s="511"/>
      <c r="C105" s="511"/>
      <c r="D105" s="511">
        <v>72</v>
      </c>
      <c r="E105" s="511">
        <v>72</v>
      </c>
      <c r="F105" s="511"/>
      <c r="G105" s="511"/>
      <c r="H105" s="511"/>
      <c r="I105" s="529">
        <v>72</v>
      </c>
    </row>
    <row r="106" spans="1:9" x14ac:dyDescent="0.25">
      <c r="A106" s="530" t="s">
        <v>25</v>
      </c>
      <c r="B106" s="511"/>
      <c r="C106" s="511"/>
      <c r="D106" s="511"/>
      <c r="E106" s="511"/>
      <c r="F106" s="511"/>
      <c r="G106" s="511">
        <v>142</v>
      </c>
      <c r="H106" s="511">
        <v>142</v>
      </c>
      <c r="I106" s="529">
        <v>142</v>
      </c>
    </row>
    <row r="107" spans="1:9" x14ac:dyDescent="0.25">
      <c r="A107" s="530" t="s">
        <v>30</v>
      </c>
      <c r="B107" s="511"/>
      <c r="C107" s="511"/>
      <c r="D107" s="511"/>
      <c r="E107" s="511"/>
      <c r="F107" s="511"/>
      <c r="G107" s="511">
        <v>444</v>
      </c>
      <c r="H107" s="511">
        <v>444</v>
      </c>
      <c r="I107" s="529">
        <v>444</v>
      </c>
    </row>
    <row r="108" spans="1:9" x14ac:dyDescent="0.25">
      <c r="A108" s="530" t="s">
        <v>27</v>
      </c>
      <c r="B108" s="511"/>
      <c r="C108" s="511"/>
      <c r="D108" s="511"/>
      <c r="E108" s="511"/>
      <c r="F108" s="511"/>
      <c r="G108" s="511">
        <v>476</v>
      </c>
      <c r="H108" s="511">
        <v>476</v>
      </c>
      <c r="I108" s="529">
        <v>476</v>
      </c>
    </row>
    <row r="109" spans="1:9" x14ac:dyDescent="0.25">
      <c r="A109" s="530" t="s">
        <v>32</v>
      </c>
      <c r="B109" s="511"/>
      <c r="C109" s="511"/>
      <c r="D109" s="511"/>
      <c r="E109" s="511"/>
      <c r="F109" s="511"/>
      <c r="G109" s="511">
        <v>1377</v>
      </c>
      <c r="H109" s="511">
        <v>1377</v>
      </c>
      <c r="I109" s="529">
        <v>1377</v>
      </c>
    </row>
    <row r="110" spans="1:9" x14ac:dyDescent="0.25">
      <c r="A110" s="530" t="s">
        <v>26</v>
      </c>
      <c r="B110" s="511"/>
      <c r="C110" s="511"/>
      <c r="D110" s="511"/>
      <c r="E110" s="511"/>
      <c r="F110" s="511"/>
      <c r="G110" s="511">
        <v>1420</v>
      </c>
      <c r="H110" s="511">
        <v>1420</v>
      </c>
      <c r="I110" s="529">
        <v>1420</v>
      </c>
    </row>
    <row r="111" spans="1:9" x14ac:dyDescent="0.25">
      <c r="A111" s="530" t="s">
        <v>29</v>
      </c>
      <c r="B111" s="511"/>
      <c r="C111" s="511"/>
      <c r="D111" s="511"/>
      <c r="E111" s="511"/>
      <c r="F111" s="511"/>
      <c r="G111" s="511">
        <v>1707</v>
      </c>
      <c r="H111" s="511">
        <v>1707</v>
      </c>
      <c r="I111" s="529">
        <v>1707</v>
      </c>
    </row>
    <row r="112" spans="1:9" x14ac:dyDescent="0.25">
      <c r="A112" s="524" t="s">
        <v>12</v>
      </c>
      <c r="B112" s="511">
        <v>64</v>
      </c>
      <c r="C112" s="511">
        <v>64</v>
      </c>
      <c r="D112" s="511">
        <v>131</v>
      </c>
      <c r="E112" s="511">
        <v>131</v>
      </c>
      <c r="F112" s="511"/>
      <c r="G112" s="511">
        <v>3631</v>
      </c>
      <c r="H112" s="511">
        <v>3631</v>
      </c>
      <c r="I112" s="529">
        <v>3826</v>
      </c>
    </row>
    <row r="113" spans="1:12" x14ac:dyDescent="0.25">
      <c r="A113" s="530" t="s">
        <v>36</v>
      </c>
      <c r="B113" s="511">
        <v>64</v>
      </c>
      <c r="C113" s="511">
        <v>64</v>
      </c>
      <c r="D113" s="511"/>
      <c r="E113" s="511"/>
      <c r="F113" s="511"/>
      <c r="G113" s="511"/>
      <c r="H113" s="511"/>
      <c r="I113" s="529">
        <v>64</v>
      </c>
    </row>
    <row r="114" spans="1:12" x14ac:dyDescent="0.25">
      <c r="A114" s="530" t="s">
        <v>646</v>
      </c>
      <c r="B114" s="511"/>
      <c r="C114" s="511"/>
      <c r="D114" s="511">
        <v>131</v>
      </c>
      <c r="E114" s="511">
        <v>131</v>
      </c>
      <c r="F114" s="511"/>
      <c r="G114" s="511"/>
      <c r="H114" s="511"/>
      <c r="I114" s="529">
        <v>131</v>
      </c>
    </row>
    <row r="115" spans="1:12" x14ac:dyDescent="0.25">
      <c r="A115" s="530" t="s">
        <v>33</v>
      </c>
      <c r="B115" s="511"/>
      <c r="C115" s="511"/>
      <c r="D115" s="511"/>
      <c r="E115" s="511"/>
      <c r="F115" s="511"/>
      <c r="G115" s="511">
        <v>1265</v>
      </c>
      <c r="H115" s="511">
        <v>1265</v>
      </c>
      <c r="I115" s="529">
        <v>1265</v>
      </c>
    </row>
    <row r="116" spans="1:12" x14ac:dyDescent="0.25">
      <c r="A116" s="530" t="s">
        <v>34</v>
      </c>
      <c r="B116" s="511"/>
      <c r="C116" s="511"/>
      <c r="D116" s="511"/>
      <c r="E116" s="511"/>
      <c r="F116" s="511"/>
      <c r="G116" s="511">
        <v>2366</v>
      </c>
      <c r="H116" s="511">
        <v>2366</v>
      </c>
      <c r="I116" s="529">
        <v>2366</v>
      </c>
    </row>
    <row r="117" spans="1:12" x14ac:dyDescent="0.25">
      <c r="A117" s="526" t="s">
        <v>215</v>
      </c>
      <c r="B117" s="512">
        <v>64</v>
      </c>
      <c r="C117" s="512">
        <v>64</v>
      </c>
      <c r="D117" s="512">
        <v>203</v>
      </c>
      <c r="E117" s="512">
        <v>203</v>
      </c>
      <c r="F117" s="512">
        <v>1088</v>
      </c>
      <c r="G117" s="512">
        <v>14621</v>
      </c>
      <c r="H117" s="512">
        <v>15709</v>
      </c>
      <c r="I117" s="531">
        <v>15976</v>
      </c>
    </row>
    <row r="125" spans="1:12" x14ac:dyDescent="0.25">
      <c r="A125" s="527" t="s">
        <v>355</v>
      </c>
      <c r="B125" s="528" t="s">
        <v>358</v>
      </c>
    </row>
    <row r="126" spans="1:12" x14ac:dyDescent="0.25">
      <c r="A126" s="527" t="s">
        <v>800</v>
      </c>
      <c r="B126" s="528" t="s">
        <v>799</v>
      </c>
    </row>
    <row r="127" spans="1:12" x14ac:dyDescent="0.25">
      <c r="A127" s="102"/>
      <c r="B127" s="102"/>
      <c r="C127" s="102"/>
      <c r="D127" s="102"/>
      <c r="E127" s="102"/>
      <c r="F127" s="102"/>
    </row>
    <row r="128" spans="1:12" x14ac:dyDescent="0.25">
      <c r="A128" s="522" t="s">
        <v>550</v>
      </c>
      <c r="B128" s="222"/>
      <c r="C128" s="520" t="s">
        <v>787</v>
      </c>
      <c r="D128" s="520" t="s">
        <v>24</v>
      </c>
      <c r="E128" s="222"/>
      <c r="F128" s="222"/>
      <c r="G128" s="222"/>
      <c r="H128" s="222"/>
      <c r="I128" s="222"/>
      <c r="J128" s="222"/>
      <c r="K128" s="223"/>
      <c r="L128"/>
    </row>
    <row r="129" spans="1:12" x14ac:dyDescent="0.25">
      <c r="A129" s="196"/>
      <c r="B129" s="1"/>
      <c r="C129" s="1" t="s">
        <v>7</v>
      </c>
      <c r="D129" s="1"/>
      <c r="E129" s="1"/>
      <c r="F129" s="1" t="s">
        <v>792</v>
      </c>
      <c r="G129" s="1" t="s">
        <v>805</v>
      </c>
      <c r="H129" s="1"/>
      <c r="I129" s="1"/>
      <c r="J129" s="1" t="s">
        <v>806</v>
      </c>
      <c r="K129" s="203" t="s">
        <v>215</v>
      </c>
      <c r="L129"/>
    </row>
    <row r="130" spans="1:12" x14ac:dyDescent="0.25">
      <c r="A130" s="523" t="s">
        <v>0</v>
      </c>
      <c r="B130" s="328" t="s">
        <v>9</v>
      </c>
      <c r="C130" s="1" t="s">
        <v>22</v>
      </c>
      <c r="D130" s="1" t="s">
        <v>23</v>
      </c>
      <c r="E130" s="1" t="s">
        <v>854</v>
      </c>
      <c r="F130" s="1"/>
      <c r="G130" s="1" t="s">
        <v>22</v>
      </c>
      <c r="H130" s="1" t="s">
        <v>23</v>
      </c>
      <c r="I130" s="1" t="s">
        <v>854</v>
      </c>
      <c r="J130" s="1"/>
      <c r="K130" s="203"/>
      <c r="L130"/>
    </row>
    <row r="131" spans="1:12" x14ac:dyDescent="0.25">
      <c r="A131" s="196" t="s">
        <v>17</v>
      </c>
      <c r="B131" s="1" t="s">
        <v>484</v>
      </c>
      <c r="C131" s="511">
        <v>327</v>
      </c>
      <c r="D131" s="511"/>
      <c r="E131" s="511"/>
      <c r="F131" s="511">
        <v>327</v>
      </c>
      <c r="G131" s="511"/>
      <c r="H131" s="511"/>
      <c r="I131" s="511"/>
      <c r="J131" s="511"/>
      <c r="K131" s="529">
        <v>327</v>
      </c>
      <c r="L131"/>
    </row>
    <row r="132" spans="1:12" x14ac:dyDescent="0.25">
      <c r="A132" s="196"/>
      <c r="B132" s="1" t="s">
        <v>58</v>
      </c>
      <c r="C132" s="511"/>
      <c r="D132" s="511"/>
      <c r="E132" s="511"/>
      <c r="F132" s="511"/>
      <c r="G132" s="511">
        <v>1274</v>
      </c>
      <c r="H132" s="511"/>
      <c r="I132" s="511"/>
      <c r="J132" s="511">
        <v>1274</v>
      </c>
      <c r="K132" s="529">
        <v>1274</v>
      </c>
      <c r="L132"/>
    </row>
    <row r="133" spans="1:12" x14ac:dyDescent="0.25">
      <c r="A133" s="196" t="s">
        <v>666</v>
      </c>
      <c r="B133" s="1"/>
      <c r="C133" s="511">
        <v>327</v>
      </c>
      <c r="D133" s="511"/>
      <c r="E133" s="511"/>
      <c r="F133" s="511">
        <v>327</v>
      </c>
      <c r="G133" s="511">
        <v>1274</v>
      </c>
      <c r="H133" s="511"/>
      <c r="I133" s="511"/>
      <c r="J133" s="511">
        <v>1274</v>
      </c>
      <c r="K133" s="529">
        <v>1601</v>
      </c>
      <c r="L133"/>
    </row>
    <row r="134" spans="1:12" x14ac:dyDescent="0.25">
      <c r="A134" s="196" t="s">
        <v>20</v>
      </c>
      <c r="B134" s="1" t="s">
        <v>108</v>
      </c>
      <c r="C134" s="511"/>
      <c r="D134" s="511"/>
      <c r="E134" s="511"/>
      <c r="F134" s="511"/>
      <c r="G134" s="511"/>
      <c r="H134" s="511">
        <v>35</v>
      </c>
      <c r="I134" s="511"/>
      <c r="J134" s="511">
        <v>35</v>
      </c>
      <c r="K134" s="529">
        <v>35</v>
      </c>
      <c r="L134"/>
    </row>
    <row r="135" spans="1:12" x14ac:dyDescent="0.25">
      <c r="A135" s="196"/>
      <c r="B135" s="1" t="s">
        <v>104</v>
      </c>
      <c r="C135" s="511"/>
      <c r="D135" s="511"/>
      <c r="E135" s="511"/>
      <c r="F135" s="511"/>
      <c r="G135" s="511"/>
      <c r="H135" s="511">
        <v>37</v>
      </c>
      <c r="I135" s="511"/>
      <c r="J135" s="511">
        <v>37</v>
      </c>
      <c r="K135" s="529">
        <v>37</v>
      </c>
      <c r="L135"/>
    </row>
    <row r="136" spans="1:12" x14ac:dyDescent="0.25">
      <c r="A136" s="196"/>
      <c r="B136" s="1" t="s">
        <v>107</v>
      </c>
      <c r="C136" s="511"/>
      <c r="D136" s="511"/>
      <c r="E136" s="511"/>
      <c r="F136" s="511"/>
      <c r="G136" s="511"/>
      <c r="H136" s="511">
        <v>38</v>
      </c>
      <c r="I136" s="511"/>
      <c r="J136" s="511">
        <v>38</v>
      </c>
      <c r="K136" s="529">
        <v>38</v>
      </c>
      <c r="L136"/>
    </row>
    <row r="137" spans="1:12" x14ac:dyDescent="0.25">
      <c r="A137" s="196"/>
      <c r="B137" s="1" t="s">
        <v>921</v>
      </c>
      <c r="C137" s="511"/>
      <c r="D137" s="511"/>
      <c r="E137" s="511"/>
      <c r="F137" s="511"/>
      <c r="G137" s="511"/>
      <c r="H137" s="511">
        <v>59</v>
      </c>
      <c r="I137" s="511"/>
      <c r="J137" s="511">
        <v>59</v>
      </c>
      <c r="K137" s="529">
        <v>59</v>
      </c>
      <c r="L137"/>
    </row>
    <row r="138" spans="1:12" x14ac:dyDescent="0.25">
      <c r="A138" s="196"/>
      <c r="B138" s="1" t="s">
        <v>920</v>
      </c>
      <c r="C138" s="511"/>
      <c r="D138" s="511"/>
      <c r="E138" s="511"/>
      <c r="F138" s="511"/>
      <c r="G138" s="511"/>
      <c r="H138" s="511">
        <v>102</v>
      </c>
      <c r="I138" s="511"/>
      <c r="J138" s="511">
        <v>102</v>
      </c>
      <c r="K138" s="529">
        <v>102</v>
      </c>
      <c r="L138"/>
    </row>
    <row r="139" spans="1:12" x14ac:dyDescent="0.25">
      <c r="A139" s="196"/>
      <c r="B139" s="1" t="s">
        <v>106</v>
      </c>
      <c r="C139" s="511"/>
      <c r="D139" s="511"/>
      <c r="E139" s="511"/>
      <c r="F139" s="511"/>
      <c r="G139" s="511"/>
      <c r="H139" s="511">
        <v>110</v>
      </c>
      <c r="I139" s="511"/>
      <c r="J139" s="511">
        <v>110</v>
      </c>
      <c r="K139" s="529">
        <v>110</v>
      </c>
      <c r="L139"/>
    </row>
    <row r="140" spans="1:12" x14ac:dyDescent="0.25">
      <c r="A140" s="196"/>
      <c r="B140" s="1" t="s">
        <v>110</v>
      </c>
      <c r="C140" s="511"/>
      <c r="D140" s="511"/>
      <c r="E140" s="511"/>
      <c r="F140" s="511"/>
      <c r="G140" s="511"/>
      <c r="H140" s="511">
        <v>289</v>
      </c>
      <c r="I140" s="511"/>
      <c r="J140" s="511">
        <v>289</v>
      </c>
      <c r="K140" s="529">
        <v>289</v>
      </c>
      <c r="L140"/>
    </row>
    <row r="141" spans="1:12" x14ac:dyDescent="0.25">
      <c r="A141" s="196"/>
      <c r="B141" s="1" t="s">
        <v>636</v>
      </c>
      <c r="C141" s="511"/>
      <c r="D141" s="511"/>
      <c r="E141" s="511"/>
      <c r="F141" s="511"/>
      <c r="G141" s="511"/>
      <c r="H141" s="511">
        <v>338</v>
      </c>
      <c r="I141" s="511"/>
      <c r="J141" s="511">
        <v>338</v>
      </c>
      <c r="K141" s="529">
        <v>338</v>
      </c>
      <c r="L141"/>
    </row>
    <row r="142" spans="1:12" x14ac:dyDescent="0.25">
      <c r="A142" s="196"/>
      <c r="B142" s="1" t="s">
        <v>922</v>
      </c>
      <c r="C142" s="511"/>
      <c r="D142" s="511"/>
      <c r="E142" s="511"/>
      <c r="F142" s="511"/>
      <c r="G142" s="511"/>
      <c r="H142" s="511">
        <v>392</v>
      </c>
      <c r="I142" s="511"/>
      <c r="J142" s="511">
        <v>392</v>
      </c>
      <c r="K142" s="529">
        <v>392</v>
      </c>
      <c r="L142"/>
    </row>
    <row r="143" spans="1:12" x14ac:dyDescent="0.25">
      <c r="A143" s="196" t="s">
        <v>667</v>
      </c>
      <c r="B143" s="1"/>
      <c r="C143" s="511"/>
      <c r="D143" s="511"/>
      <c r="E143" s="511"/>
      <c r="F143" s="511"/>
      <c r="G143" s="511"/>
      <c r="H143" s="511">
        <v>1400</v>
      </c>
      <c r="I143" s="511"/>
      <c r="J143" s="511">
        <v>1400</v>
      </c>
      <c r="K143" s="529">
        <v>1400</v>
      </c>
      <c r="L143"/>
    </row>
    <row r="144" spans="1:12" x14ac:dyDescent="0.25">
      <c r="A144" s="196" t="s">
        <v>18</v>
      </c>
      <c r="B144" s="1" t="s">
        <v>60</v>
      </c>
      <c r="C144" s="511"/>
      <c r="D144" s="511">
        <v>77</v>
      </c>
      <c r="E144" s="511"/>
      <c r="F144" s="511">
        <v>77</v>
      </c>
      <c r="G144" s="511"/>
      <c r="H144" s="511"/>
      <c r="I144" s="511"/>
      <c r="J144" s="511"/>
      <c r="K144" s="529">
        <v>77</v>
      </c>
      <c r="L144"/>
    </row>
    <row r="145" spans="1:12" x14ac:dyDescent="0.25">
      <c r="A145" s="196"/>
      <c r="B145" s="1" t="s">
        <v>59</v>
      </c>
      <c r="C145" s="511"/>
      <c r="D145" s="511"/>
      <c r="E145" s="511"/>
      <c r="F145" s="511"/>
      <c r="G145" s="511">
        <v>187</v>
      </c>
      <c r="H145" s="511"/>
      <c r="I145" s="511"/>
      <c r="J145" s="511">
        <v>187</v>
      </c>
      <c r="K145" s="529">
        <v>187</v>
      </c>
      <c r="L145"/>
    </row>
    <row r="146" spans="1:12" x14ac:dyDescent="0.25">
      <c r="A146" s="196" t="s">
        <v>669</v>
      </c>
      <c r="B146" s="1"/>
      <c r="C146" s="511"/>
      <c r="D146" s="511">
        <v>77</v>
      </c>
      <c r="E146" s="511"/>
      <c r="F146" s="511">
        <v>77</v>
      </c>
      <c r="G146" s="511">
        <v>187</v>
      </c>
      <c r="H146" s="511"/>
      <c r="I146" s="511"/>
      <c r="J146" s="511">
        <v>187</v>
      </c>
      <c r="K146" s="529">
        <v>264</v>
      </c>
      <c r="L146"/>
    </row>
    <row r="147" spans="1:12" x14ac:dyDescent="0.25">
      <c r="A147" s="196" t="s">
        <v>16</v>
      </c>
      <c r="B147" s="1" t="s">
        <v>56</v>
      </c>
      <c r="C147" s="511"/>
      <c r="D147" s="511"/>
      <c r="E147" s="511"/>
      <c r="F147" s="511"/>
      <c r="G147" s="511">
        <v>157</v>
      </c>
      <c r="H147" s="511"/>
      <c r="I147" s="511"/>
      <c r="J147" s="511">
        <v>157</v>
      </c>
      <c r="K147" s="529">
        <v>157</v>
      </c>
      <c r="L147"/>
    </row>
    <row r="148" spans="1:12" x14ac:dyDescent="0.25">
      <c r="A148" s="196"/>
      <c r="B148" s="1" t="s">
        <v>55</v>
      </c>
      <c r="C148" s="511"/>
      <c r="D148" s="511"/>
      <c r="E148" s="511"/>
      <c r="F148" s="511"/>
      <c r="G148" s="511">
        <v>332</v>
      </c>
      <c r="H148" s="511"/>
      <c r="I148" s="511"/>
      <c r="J148" s="511">
        <v>332</v>
      </c>
      <c r="K148" s="529">
        <v>332</v>
      </c>
      <c r="L148"/>
    </row>
    <row r="149" spans="1:12" x14ac:dyDescent="0.25">
      <c r="A149" s="196"/>
      <c r="B149" s="1" t="s">
        <v>410</v>
      </c>
      <c r="C149" s="511"/>
      <c r="D149" s="511"/>
      <c r="E149" s="511"/>
      <c r="F149" s="511"/>
      <c r="G149" s="511">
        <v>961</v>
      </c>
      <c r="H149" s="511"/>
      <c r="I149" s="511"/>
      <c r="J149" s="511">
        <v>961</v>
      </c>
      <c r="K149" s="529">
        <v>961</v>
      </c>
      <c r="L149"/>
    </row>
    <row r="150" spans="1:12" x14ac:dyDescent="0.25">
      <c r="A150" s="196"/>
      <c r="B150" s="1" t="s">
        <v>624</v>
      </c>
      <c r="C150" s="511"/>
      <c r="D150" s="511"/>
      <c r="E150" s="511"/>
      <c r="F150" s="511"/>
      <c r="G150" s="511">
        <v>1297</v>
      </c>
      <c r="H150" s="511"/>
      <c r="I150" s="511"/>
      <c r="J150" s="511">
        <v>1297</v>
      </c>
      <c r="K150" s="529">
        <v>1297</v>
      </c>
      <c r="L150"/>
    </row>
    <row r="151" spans="1:12" x14ac:dyDescent="0.25">
      <c r="A151" s="196"/>
      <c r="B151" s="1" t="s">
        <v>57</v>
      </c>
      <c r="C151" s="511"/>
      <c r="D151" s="511"/>
      <c r="E151" s="511"/>
      <c r="F151" s="511"/>
      <c r="G151" s="511"/>
      <c r="H151" s="511">
        <v>1308</v>
      </c>
      <c r="I151" s="511"/>
      <c r="J151" s="511">
        <v>1308</v>
      </c>
      <c r="K151" s="529">
        <v>1308</v>
      </c>
      <c r="L151"/>
    </row>
    <row r="152" spans="1:12" x14ac:dyDescent="0.25">
      <c r="A152" s="196" t="s">
        <v>670</v>
      </c>
      <c r="B152" s="1"/>
      <c r="C152" s="511"/>
      <c r="D152" s="511"/>
      <c r="E152" s="511"/>
      <c r="F152" s="511"/>
      <c r="G152" s="511">
        <v>2747</v>
      </c>
      <c r="H152" s="511">
        <v>1308</v>
      </c>
      <c r="I152" s="511"/>
      <c r="J152" s="511">
        <v>4055</v>
      </c>
      <c r="K152" s="529">
        <v>4055</v>
      </c>
      <c r="L152"/>
    </row>
    <row r="153" spans="1:12" x14ac:dyDescent="0.25">
      <c r="A153" s="196" t="s">
        <v>19</v>
      </c>
      <c r="B153" s="1" t="s">
        <v>80</v>
      </c>
      <c r="C153" s="511"/>
      <c r="D153" s="511"/>
      <c r="E153" s="511">
        <v>27</v>
      </c>
      <c r="F153" s="511">
        <v>27</v>
      </c>
      <c r="G153" s="511"/>
      <c r="H153" s="511"/>
      <c r="I153" s="511"/>
      <c r="J153" s="511"/>
      <c r="K153" s="529">
        <v>27</v>
      </c>
      <c r="L153"/>
    </row>
    <row r="154" spans="1:12" x14ac:dyDescent="0.25">
      <c r="A154" s="196"/>
      <c r="B154" s="1" t="s">
        <v>569</v>
      </c>
      <c r="C154" s="511"/>
      <c r="D154" s="511"/>
      <c r="E154" s="511"/>
      <c r="F154" s="511"/>
      <c r="G154" s="511"/>
      <c r="H154" s="511"/>
      <c r="I154" s="511">
        <v>226</v>
      </c>
      <c r="J154" s="511">
        <v>226</v>
      </c>
      <c r="K154" s="529">
        <v>226</v>
      </c>
      <c r="L154"/>
    </row>
    <row r="155" spans="1:12" x14ac:dyDescent="0.25">
      <c r="A155" s="196"/>
      <c r="B155" s="1" t="s">
        <v>556</v>
      </c>
      <c r="C155" s="511"/>
      <c r="D155" s="511"/>
      <c r="E155" s="511"/>
      <c r="F155" s="511"/>
      <c r="G155" s="511"/>
      <c r="H155" s="511"/>
      <c r="I155" s="511">
        <v>2942</v>
      </c>
      <c r="J155" s="511">
        <v>2942</v>
      </c>
      <c r="K155" s="529">
        <v>2942</v>
      </c>
      <c r="L155"/>
    </row>
    <row r="156" spans="1:12" x14ac:dyDescent="0.25">
      <c r="A156" s="196"/>
      <c r="B156" s="1" t="s">
        <v>558</v>
      </c>
      <c r="C156" s="511"/>
      <c r="D156" s="511"/>
      <c r="E156" s="511"/>
      <c r="F156" s="511"/>
      <c r="G156" s="511"/>
      <c r="H156" s="511"/>
      <c r="I156" s="511">
        <v>2951</v>
      </c>
      <c r="J156" s="511">
        <v>2951</v>
      </c>
      <c r="K156" s="529">
        <v>2951</v>
      </c>
      <c r="L156"/>
    </row>
    <row r="157" spans="1:12" x14ac:dyDescent="0.25">
      <c r="A157" s="196" t="s">
        <v>665</v>
      </c>
      <c r="B157" s="1"/>
      <c r="C157" s="511"/>
      <c r="D157" s="511"/>
      <c r="E157" s="511">
        <v>27</v>
      </c>
      <c r="F157" s="511">
        <v>27</v>
      </c>
      <c r="G157" s="511"/>
      <c r="H157" s="511"/>
      <c r="I157" s="511">
        <v>6119</v>
      </c>
      <c r="J157" s="511">
        <v>6119</v>
      </c>
      <c r="K157" s="529">
        <v>6146</v>
      </c>
      <c r="L157"/>
    </row>
    <row r="158" spans="1:12" x14ac:dyDescent="0.25">
      <c r="A158" s="205" t="s">
        <v>215</v>
      </c>
      <c r="B158" s="206"/>
      <c r="C158" s="512">
        <v>327</v>
      </c>
      <c r="D158" s="512">
        <v>77</v>
      </c>
      <c r="E158" s="512">
        <v>27</v>
      </c>
      <c r="F158" s="512">
        <v>431</v>
      </c>
      <c r="G158" s="512">
        <v>4208</v>
      </c>
      <c r="H158" s="512">
        <v>2708</v>
      </c>
      <c r="I158" s="512">
        <v>6119</v>
      </c>
      <c r="J158" s="512">
        <v>13035</v>
      </c>
      <c r="K158" s="531">
        <v>13466</v>
      </c>
      <c r="L158"/>
    </row>
    <row r="159" spans="1:12" x14ac:dyDescent="0.25">
      <c r="A159"/>
      <c r="B159"/>
      <c r="C159"/>
      <c r="D159"/>
      <c r="E159"/>
      <c r="F159"/>
      <c r="G159"/>
      <c r="H159"/>
      <c r="I159"/>
      <c r="J159"/>
      <c r="K159"/>
      <c r="L159"/>
    </row>
    <row r="181" spans="1:12" x14ac:dyDescent="0.25">
      <c r="A181"/>
      <c r="B181"/>
      <c r="C181"/>
      <c r="D181"/>
      <c r="E181"/>
      <c r="F181"/>
      <c r="G181"/>
      <c r="H181"/>
      <c r="I181"/>
      <c r="J181"/>
      <c r="K181"/>
      <c r="L181"/>
    </row>
    <row r="182" spans="1:12" x14ac:dyDescent="0.25">
      <c r="A182"/>
      <c r="B182"/>
      <c r="C182"/>
      <c r="D182"/>
      <c r="E182"/>
      <c r="F182"/>
      <c r="G182"/>
      <c r="H182"/>
      <c r="I182"/>
      <c r="J182"/>
      <c r="K182"/>
      <c r="L182"/>
    </row>
    <row r="183" spans="1:12" x14ac:dyDescent="0.25">
      <c r="A183"/>
      <c r="B183"/>
      <c r="C183"/>
      <c r="D183"/>
      <c r="E183"/>
      <c r="F183"/>
      <c r="G183"/>
      <c r="H183"/>
      <c r="I183"/>
      <c r="J183"/>
      <c r="K183"/>
      <c r="L183"/>
    </row>
    <row r="184" spans="1:12" x14ac:dyDescent="0.25">
      <c r="A184"/>
      <c r="B184"/>
      <c r="C184"/>
      <c r="D184"/>
      <c r="E184"/>
      <c r="F184"/>
      <c r="G184"/>
      <c r="H184"/>
      <c r="I184"/>
      <c r="J184"/>
      <c r="K184"/>
      <c r="L184"/>
    </row>
    <row r="185" spans="1:12" x14ac:dyDescent="0.25">
      <c r="A185"/>
      <c r="B185"/>
      <c r="C185"/>
      <c r="D185"/>
      <c r="E185"/>
      <c r="F185"/>
      <c r="G185"/>
      <c r="H185"/>
      <c r="I185"/>
      <c r="J185"/>
      <c r="K185"/>
      <c r="L185"/>
    </row>
    <row r="186" spans="1:12" x14ac:dyDescent="0.25">
      <c r="A186"/>
      <c r="B186"/>
      <c r="C186"/>
      <c r="D186"/>
      <c r="E186"/>
      <c r="F186"/>
      <c r="G186"/>
      <c r="H186"/>
      <c r="I186"/>
      <c r="J186"/>
    </row>
    <row r="187" spans="1:12" x14ac:dyDescent="0.25">
      <c r="A187"/>
      <c r="B187"/>
      <c r="C187"/>
      <c r="D187"/>
      <c r="E187"/>
      <c r="F187"/>
      <c r="G187"/>
      <c r="H187"/>
      <c r="I187"/>
      <c r="J187"/>
    </row>
    <row r="188" spans="1:12" x14ac:dyDescent="0.25">
      <c r="A188"/>
      <c r="B188"/>
      <c r="C188"/>
      <c r="D188"/>
      <c r="E188"/>
      <c r="F188"/>
      <c r="G188"/>
      <c r="H188"/>
      <c r="I188"/>
      <c r="J188"/>
    </row>
    <row r="189" spans="1:12" x14ac:dyDescent="0.25">
      <c r="A189"/>
      <c r="B189"/>
      <c r="C189"/>
      <c r="D189"/>
      <c r="E189"/>
      <c r="F189"/>
      <c r="G189"/>
      <c r="H189"/>
      <c r="I189"/>
      <c r="J189"/>
    </row>
    <row r="190" spans="1:12" x14ac:dyDescent="0.25">
      <c r="A190"/>
      <c r="B190"/>
      <c r="C190"/>
      <c r="D190"/>
      <c r="E190"/>
      <c r="F190"/>
      <c r="G190"/>
    </row>
    <row r="191" spans="1:12" x14ac:dyDescent="0.25">
      <c r="A191"/>
      <c r="B191"/>
      <c r="C191"/>
      <c r="D191"/>
      <c r="E191"/>
      <c r="F191"/>
      <c r="G191"/>
    </row>
    <row r="192" spans="1:12" x14ac:dyDescent="0.25">
      <c r="A192"/>
      <c r="B192"/>
      <c r="C192"/>
      <c r="D192"/>
      <c r="E192"/>
      <c r="F192"/>
      <c r="G192"/>
    </row>
    <row r="193" spans="1:7" x14ac:dyDescent="0.25">
      <c r="A193"/>
      <c r="B193"/>
      <c r="C193"/>
      <c r="D193"/>
      <c r="E193"/>
      <c r="F193"/>
      <c r="G193"/>
    </row>
    <row r="194" spans="1:7" x14ac:dyDescent="0.25">
      <c r="A194"/>
      <c r="B194"/>
      <c r="C194"/>
      <c r="D194"/>
      <c r="E194"/>
      <c r="F194"/>
      <c r="G194"/>
    </row>
    <row r="195" spans="1:7" x14ac:dyDescent="0.25">
      <c r="A195"/>
      <c r="B195"/>
      <c r="C195"/>
      <c r="D195"/>
      <c r="E195"/>
      <c r="F195"/>
      <c r="G195"/>
    </row>
    <row r="196" spans="1:7" x14ac:dyDescent="0.25">
      <c r="A196"/>
      <c r="B196"/>
      <c r="C196"/>
      <c r="D196"/>
      <c r="E196"/>
      <c r="F196"/>
      <c r="G196"/>
    </row>
    <row r="197" spans="1:7" x14ac:dyDescent="0.25">
      <c r="A197"/>
      <c r="B197"/>
      <c r="C197"/>
      <c r="D197"/>
      <c r="E197"/>
      <c r="F197"/>
      <c r="G197"/>
    </row>
    <row r="198" spans="1:7" x14ac:dyDescent="0.25">
      <c r="A198"/>
      <c r="B198"/>
      <c r="C198"/>
      <c r="D198"/>
      <c r="E198"/>
      <c r="F198"/>
      <c r="G198"/>
    </row>
    <row r="199" spans="1:7" x14ac:dyDescent="0.25">
      <c r="A199"/>
      <c r="B199"/>
      <c r="C199"/>
      <c r="D199"/>
      <c r="E199"/>
      <c r="F199"/>
    </row>
    <row r="200" spans="1:7" x14ac:dyDescent="0.25">
      <c r="A200"/>
      <c r="B200"/>
      <c r="C200"/>
      <c r="D200"/>
      <c r="E200"/>
      <c r="F200"/>
    </row>
    <row r="201" spans="1:7" x14ac:dyDescent="0.25">
      <c r="A201"/>
      <c r="B201"/>
      <c r="C201"/>
      <c r="D201"/>
      <c r="E201"/>
      <c r="F201"/>
    </row>
    <row r="202" spans="1:7" x14ac:dyDescent="0.25">
      <c r="A202"/>
      <c r="B202"/>
      <c r="C202"/>
      <c r="D202"/>
      <c r="E202"/>
      <c r="F202"/>
    </row>
    <row r="203" spans="1:7" x14ac:dyDescent="0.25">
      <c r="A203"/>
      <c r="B203"/>
      <c r="C203"/>
      <c r="D203"/>
      <c r="E203"/>
      <c r="F203"/>
    </row>
    <row r="204" spans="1:7" x14ac:dyDescent="0.25">
      <c r="A204"/>
      <c r="B204"/>
      <c r="C204"/>
      <c r="D204"/>
      <c r="E204"/>
      <c r="F204"/>
    </row>
    <row r="205" spans="1:7" x14ac:dyDescent="0.25">
      <c r="A205"/>
      <c r="B205"/>
      <c r="C205"/>
      <c r="D205"/>
      <c r="E205"/>
      <c r="F205"/>
    </row>
    <row r="206" spans="1:7" x14ac:dyDescent="0.25">
      <c r="A206"/>
      <c r="B206"/>
      <c r="C206"/>
      <c r="D206"/>
      <c r="E206"/>
      <c r="F206"/>
    </row>
    <row r="207" spans="1:7" x14ac:dyDescent="0.25">
      <c r="A207"/>
      <c r="B207"/>
      <c r="C207"/>
      <c r="D207"/>
      <c r="E207"/>
      <c r="F207"/>
    </row>
    <row r="208" spans="1:7"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sheetData>
  <mergeCells count="1">
    <mergeCell ref="A3:B3"/>
  </mergeCells>
  <pageMargins left="0" right="0" top="0" bottom="0" header="0.3" footer="0.3"/>
  <pageSetup scale="83" fitToWidth="0" orientation="landscape" r:id="rId9"/>
  <drawing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1.xml>��< ? x m l   v e r s i o n = " 1 . 0 "   e n c o d i n g = " U T F - 1 6 " ? > < G e m i n i   x m l n s = " h t t p : / / g e m i n i / p i v o t c u s t o m i z a t i o n / C l i e n t W i n d o w X M L " > < C u s t o m C o n t e n t > < ! [ C D A T A [ T a b l e _ C a m p L i s t ] ] > < / C u s t o m C o n t e n t > < / G e m i n i > 
</file>

<file path=customXml/item12.xml>��< ? x m l   v e r s i o n = " 1 . 0 "   e n c o d i n g = " U T F - 1 6 " ? > < G e m i n i   x m l n s = " h t t p : / / g e m i n i / p i v o t c u s t o m i z a t i o n / T a b l e O r d e r " > < C u s t o m C o n t e n t > < ! [ C D A T A [ T a b l e _ C a m p L i s t , T a b l e _ S h e l t e r ] ] > < / C u s t o m C o n t e n t > < / G e m i n i > 
</file>

<file path=customXml/item13.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14.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5.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L i n k e d T a b l e U p d a t e M o d e " > < C u s t o m C o n t e n t > < ! [ C D A T A [ T r u e ] ] > < / C u s t o m C o n t e n t > < / G e m i n i > 
</file>

<file path=customXml/item2.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3.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4.xml>��< ? x m l   v e r s i o n = " 1 . 0 "   e n c o d i n g = " U T F - 1 6 " ? > < G e m i n i   x m l n s = " h t t p : / / g e m i n i / w o r k b o o k c u s t o m i z a t i o n / R e l a t i o n s h i p A u t o D e t e c t i o n E n a b l e d " > < C u s t o m C o n t e n t > < ! [ C D A T A [ T r u e ] ] > < / C u s t o m C o n t e n t > < / G e m i n i > 
</file>

<file path=customXml/item5.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6.xml>��< ? x m l   v e r s i o n = " 1 . 0 "   e n c o d i n g = " U T F - 1 6 " ? > < G e m i n i   x m l n s = " h t t p : / / g e m i n i / w o r k b o o k c u s t o m i z a t i o n / S a n d b o x N o n E m p t y " > < C u s t o m C o n t e n t > < ! [ C D A T A [ 1 ] ] > < / C u s t o m C o n t e n t > < / G e m i n i > 
</file>

<file path=customXml/item7.xml>��< ? x m l   v e r s i o n = " 1 . 0 "   e n c o d i n g = " U T F - 1 6 " ? > < G e m i n i   x m l n s = " h t t p : / / g e m i n i / p i v o t c u s t o m i z a t i o n / T a b l e C o u n t I n S a n d b o x " > < C u s t o m C o n t e n t > < ! [ C D A T A [ 2 ] ] > < / 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0.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1.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2.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3.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14.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5.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2.xml><?xml version="1.0" encoding="utf-8"?>
<ds:datastoreItem xmlns:ds="http://schemas.openxmlformats.org/officeDocument/2006/customXml" ds:itemID="{BD47491D-A072-4E9A-9936-7CEEF1F17C78}">
  <ds:schemaRefs>
    <ds:schemaRef ds:uri="96664bca-06c0-4657-b6f9-0a997f5ff9b9"/>
    <ds:schemaRef ds:uri="http://schemas.microsoft.com/office/2006/metadata/properties"/>
    <ds:schemaRef ds:uri="http://schemas.microsoft.com/office/2006/documentManagement/types"/>
    <ds:schemaRef ds:uri="http://purl.org/dc/terms/"/>
    <ds:schemaRef ds:uri="http://schemas.microsoft.com/sharepoint/v3"/>
    <ds:schemaRef ds:uri="c2760211-3e43-4ff7-a9ea-22e8b7d99117"/>
    <ds:schemaRef ds:uri="http://schemas.microsoft.com/office/infopath/2007/PartnerControls"/>
    <ds:schemaRef ds:uri="http://schemas.openxmlformats.org/package/2006/metadata/core-properties"/>
    <ds:schemaRef ds:uri="44d82dea-fc32-4e1e-a3c6-c3136ef66f65"/>
    <ds:schemaRef ds:uri="http://purl.org/dc/elements/1.1/"/>
    <ds:schemaRef ds:uri="410da107-b4b9-4416-82f0-a17ea7b4313c"/>
    <ds:schemaRef ds:uri="http://www.w3.org/XML/1998/namespace"/>
    <ds:schemaRef ds:uri="http://purl.org/dc/dcmitype/"/>
  </ds:schemaRefs>
</ds:datastoreItem>
</file>

<file path=customXml/itemProps3.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4.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5.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6.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7.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8.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9.xml><?xml version="1.0" encoding="utf-8"?>
<ds:datastoreItem xmlns:ds="http://schemas.openxmlformats.org/officeDocument/2006/customXml" ds:itemID="{0DB74B7D-45D0-467C-937A-BF6037B4CDD8}">
  <ds:schemaRefs>
    <ds:schemaRef ds:uri="http://gemini/pivotcustomization/TableXML_Table_CampList"/>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95</vt:i4>
      </vt:variant>
    </vt:vector>
  </HeadingPairs>
  <TitlesOfParts>
    <vt:vector size="121" baseType="lpstr">
      <vt:lpstr>File_details</vt:lpstr>
      <vt:lpstr>Home</vt:lpstr>
      <vt:lpstr>Definition_TCL</vt:lpstr>
      <vt:lpstr>Definition</vt:lpstr>
      <vt:lpstr>Key CCCM Definitions</vt:lpstr>
      <vt:lpstr>Camp List</vt:lpstr>
      <vt:lpstr>Age-Sex Breakdown per Camp</vt:lpstr>
      <vt:lpstr>Vulnerability per Camp</vt:lpstr>
      <vt:lpstr>Camp Analysis</vt:lpstr>
      <vt:lpstr>Camp List (printable) </vt:lpstr>
      <vt:lpstr>Camp Management-Focal Point</vt:lpstr>
      <vt:lpstr>Displacement Areas</vt:lpstr>
      <vt:lpstr>CCCM Dashboard</vt:lpstr>
      <vt:lpstr>Camp_Profile</vt:lpstr>
      <vt:lpstr>Shelter Tracking</vt:lpstr>
      <vt:lpstr>Camp Infrastructure</vt:lpstr>
      <vt:lpstr>Shelter Progress</vt:lpstr>
      <vt:lpstr>Shelter Summary (by agency)</vt:lpstr>
      <vt:lpstr>Shelter Coverage &amp; Gaps</vt:lpstr>
      <vt:lpstr>Map</vt:lpstr>
      <vt:lpstr>NFI Tracking</vt:lpstr>
      <vt:lpstr>NFI Pipeline</vt:lpstr>
      <vt:lpstr>analysis</vt:lpstr>
      <vt:lpstr>NFI Distribution (by Tship)</vt:lpstr>
      <vt:lpstr>NFI Summary</vt:lpstr>
      <vt:lpstr>Sheet1</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NFI_Blanket_Pipeline</vt:lpstr>
      <vt:lpstr>NFI_Blanket_Stock</vt:lpstr>
      <vt:lpstr>NFI_Blanket_Track</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Thi Thi Lwin</cp:lastModifiedBy>
  <cp:lastPrinted>2015-11-20T08:20:30Z</cp:lastPrinted>
  <dcterms:created xsi:type="dcterms:W3CDTF">2013-03-18T02:36:38Z</dcterms:created>
  <dcterms:modified xsi:type="dcterms:W3CDTF">2016-02-02T03:11:49Z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