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1"/>
  </bookViews>
  <sheets>
    <sheet name="Water" sheetId="1" r:id="rId1"/>
    <sheet name="Sanitation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<sst xmlns="http://schemas.openxmlformats.org/spreadsheetml/2006/main" count="62" uniqueCount="50">
  <si>
    <t>Specific Site</t>
  </si>
  <si>
    <t>Population size</t>
  </si>
  <si>
    <t xml:space="preserve">Ratio Per user   </t>
  </si>
  <si>
    <t>Total Volume of</t>
  </si>
  <si>
    <t>Number of distribution points</t>
  </si>
  <si>
    <t>Coverage in terms of water points</t>
  </si>
  <si>
    <t>Number of taps</t>
  </si>
  <si>
    <t xml:space="preserve">Additional Taps required </t>
  </si>
  <si>
    <t>Additional water points (6 taps)</t>
  </si>
  <si>
    <t>Standard (l/p/d)</t>
  </si>
  <si>
    <t>Actual (l/p/d)</t>
  </si>
  <si>
    <t>water needed to meet std</t>
  </si>
  <si>
    <t>Req’d</t>
  </si>
  <si>
    <t>Actual number</t>
  </si>
  <si>
    <t>Reception</t>
  </si>
  <si>
    <t>Transit</t>
  </si>
  <si>
    <t>Kobe Camp</t>
  </si>
  <si>
    <t>Melkadida</t>
  </si>
  <si>
    <t>Bokolmayo</t>
  </si>
  <si>
    <t>Hallawen</t>
  </si>
  <si>
    <t>Total</t>
  </si>
  <si>
    <t>Total volume of water provided              litres</t>
  </si>
  <si>
    <t>Site</t>
  </si>
  <si>
    <t>Type of latrine available</t>
  </si>
  <si>
    <t>Total number of blocs</t>
  </si>
  <si>
    <t>Total number of holes</t>
  </si>
  <si>
    <t>Number of functional holes</t>
  </si>
  <si>
    <t>Under construction</t>
  </si>
  <si>
    <t>STANDARD I (50P/HOLE)</t>
  </si>
  <si>
    <t>STANDARD II (20p/HOLE)</t>
  </si>
  <si>
    <t>Hygiene promoters</t>
  </si>
  <si>
    <t>Remarks</t>
  </si>
  <si>
    <t>Additional required NOW to meet standard</t>
  </si>
  <si>
    <t>Additional required (excluding those under construction) to meet standard</t>
  </si>
  <si>
    <t>Coverage in % currently</t>
  </si>
  <si>
    <t>Coverage in % after completion</t>
  </si>
  <si>
    <t>Additional required NOW to meet standard II</t>
  </si>
  <si>
    <t>Additional required (excluding those under construction) to meet standard II</t>
  </si>
  <si>
    <t>Needed</t>
  </si>
  <si>
    <t>Actual</t>
  </si>
  <si>
    <t>To be added</t>
  </si>
  <si>
    <t>Emergency Standard (p/hole)</t>
  </si>
  <si>
    <t>Actual (p/hole)</t>
  </si>
  <si>
    <t>Communal</t>
  </si>
  <si>
    <t>Kobe</t>
  </si>
  <si>
    <t>Communal
Familial</t>
  </si>
  <si>
    <t>147 family latrines (2 holes, 1 shower, 1 latrine)
162 Communal latrines (80_1 hole, 1 shower, 1 latrine, 82, 3 holes, 2 latrines, 1 shower)</t>
  </si>
  <si>
    <t>Helowin</t>
  </si>
  <si>
    <t>Trench latrines</t>
  </si>
  <si>
    <t>Blocs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</si>
</sst>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4" fillId="0" borderId="0" xfId="55" applyFont="1" applyAlignment="1">
      <alignment vertical="center"/>
      <protection/>
    </xf>
    <xf numFmtId="0" fontId="5" fillId="0" borderId="10" xfId="55" applyFont="1" applyFill="1" applyBorder="1" applyAlignment="1">
      <alignment vertical="center"/>
      <protection/>
    </xf>
    <xf numFmtId="3" fontId="5" fillId="0" borderId="11" xfId="55" applyNumberFormat="1" applyFont="1" applyFill="1" applyBorder="1" applyAlignment="1">
      <alignment vertical="center"/>
      <protection/>
    </xf>
    <xf numFmtId="0" fontId="5" fillId="0" borderId="11" xfId="55" applyFont="1" applyFill="1" applyBorder="1" applyAlignment="1">
      <alignment vertical="center"/>
      <protection/>
    </xf>
    <xf numFmtId="1" fontId="5" fillId="0" borderId="11" xfId="55" applyNumberFormat="1" applyFont="1" applyFill="1" applyBorder="1" applyAlignment="1">
      <alignment vertical="center"/>
      <protection/>
    </xf>
    <xf numFmtId="3" fontId="5" fillId="0" borderId="11" xfId="55" applyNumberFormat="1" applyFont="1" applyFill="1" applyBorder="1" applyAlignment="1">
      <alignment horizontal="right" vertical="center"/>
      <protection/>
    </xf>
    <xf numFmtId="9" fontId="5" fillId="0" borderId="11" xfId="55" applyNumberFormat="1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vertical="center"/>
      <protection/>
    </xf>
    <xf numFmtId="0" fontId="5" fillId="0" borderId="13" xfId="55" applyFont="1" applyFill="1" applyBorder="1" applyAlignment="1">
      <alignment vertical="center"/>
      <protection/>
    </xf>
    <xf numFmtId="3" fontId="5" fillId="0" borderId="14" xfId="55" applyNumberFormat="1" applyFont="1" applyFill="1" applyBorder="1" applyAlignment="1">
      <alignment vertical="center"/>
      <protection/>
    </xf>
    <xf numFmtId="0" fontId="5" fillId="0" borderId="14" xfId="55" applyFont="1" applyFill="1" applyBorder="1" applyAlignment="1">
      <alignment vertical="center"/>
      <protection/>
    </xf>
    <xf numFmtId="1" fontId="5" fillId="0" borderId="14" xfId="55" applyNumberFormat="1" applyFont="1" applyFill="1" applyBorder="1" applyAlignment="1">
      <alignment vertical="center"/>
      <protection/>
    </xf>
    <xf numFmtId="3" fontId="5" fillId="0" borderId="14" xfId="55" applyNumberFormat="1" applyFont="1" applyFill="1" applyBorder="1" applyAlignment="1">
      <alignment horizontal="right" vertical="center"/>
      <protection/>
    </xf>
    <xf numFmtId="9" fontId="5" fillId="0" borderId="14" xfId="55" applyNumberFormat="1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vertical="center"/>
      <protection/>
    </xf>
    <xf numFmtId="1" fontId="5" fillId="0" borderId="15" xfId="55" applyNumberFormat="1" applyFont="1" applyFill="1" applyBorder="1" applyAlignment="1">
      <alignment vertical="center"/>
      <protection/>
    </xf>
    <xf numFmtId="0" fontId="5" fillId="0" borderId="16" xfId="55" applyFont="1" applyFill="1" applyBorder="1" applyAlignment="1">
      <alignment vertical="center"/>
      <protection/>
    </xf>
    <xf numFmtId="0" fontId="5" fillId="0" borderId="17" xfId="55" applyFont="1" applyFill="1" applyBorder="1" applyAlignment="1">
      <alignment vertical="center"/>
      <protection/>
    </xf>
    <xf numFmtId="3" fontId="5" fillId="0" borderId="18" xfId="55" applyNumberFormat="1" applyFont="1" applyFill="1" applyBorder="1" applyAlignment="1">
      <alignment vertical="center"/>
      <protection/>
    </xf>
    <xf numFmtId="0" fontId="5" fillId="0" borderId="18" xfId="55" applyFont="1" applyFill="1" applyBorder="1" applyAlignment="1">
      <alignment vertical="center"/>
      <protection/>
    </xf>
    <xf numFmtId="1" fontId="5" fillId="0" borderId="18" xfId="55" applyNumberFormat="1" applyFont="1" applyFill="1" applyBorder="1" applyAlignment="1">
      <alignment vertical="center"/>
      <protection/>
    </xf>
    <xf numFmtId="3" fontId="5" fillId="0" borderId="18" xfId="55" applyNumberFormat="1" applyFont="1" applyFill="1" applyBorder="1" applyAlignment="1">
      <alignment horizontal="right" vertical="center"/>
      <protection/>
    </xf>
    <xf numFmtId="9" fontId="5" fillId="0" borderId="18" xfId="55" applyNumberFormat="1" applyFont="1" applyFill="1" applyBorder="1" applyAlignment="1">
      <alignment horizontal="center" vertical="center" wrapText="1"/>
      <protection/>
    </xf>
    <xf numFmtId="0" fontId="6" fillId="0" borderId="19" xfId="55" applyFont="1" applyFill="1" applyBorder="1" applyAlignment="1">
      <alignment vertical="center"/>
      <protection/>
    </xf>
    <xf numFmtId="3" fontId="6" fillId="0" borderId="20" xfId="55" applyNumberFormat="1" applyFont="1" applyFill="1" applyBorder="1" applyAlignment="1">
      <alignment vertical="center"/>
      <protection/>
    </xf>
    <xf numFmtId="0" fontId="6" fillId="0" borderId="20" xfId="55" applyFont="1" applyFill="1" applyBorder="1" applyAlignment="1">
      <alignment vertical="center"/>
      <protection/>
    </xf>
    <xf numFmtId="2" fontId="6" fillId="0" borderId="20" xfId="55" applyNumberFormat="1" applyFont="1" applyFill="1" applyBorder="1" applyAlignment="1">
      <alignment vertical="center"/>
      <protection/>
    </xf>
    <xf numFmtId="9" fontId="6" fillId="0" borderId="20" xfId="55" applyNumberFormat="1" applyFont="1" applyFill="1" applyBorder="1" applyAlignment="1">
      <alignment horizontal="center" vertical="center" wrapText="1"/>
      <protection/>
    </xf>
    <xf numFmtId="1" fontId="6" fillId="0" borderId="21" xfId="55" applyNumberFormat="1" applyFont="1" applyFill="1" applyBorder="1" applyAlignment="1">
      <alignment vertical="center"/>
      <protection/>
    </xf>
    <xf numFmtId="0" fontId="3" fillId="0" borderId="0" xfId="55" applyFont="1" applyAlignment="1">
      <alignment vertical="center"/>
      <protection/>
    </xf>
    <xf numFmtId="164" fontId="4" fillId="0" borderId="0" xfId="42" applyFont="1" applyAlignment="1">
      <alignment vertical="center"/>
    </xf>
    <xf numFmtId="0" fontId="3" fillId="0" borderId="14" xfId="55" applyFont="1" applyFill="1" applyBorder="1" applyAlignment="1">
      <alignment horizontal="center" vertical="center" wrapText="1"/>
      <protection/>
    </xf>
    <xf numFmtId="0" fontId="3" fillId="0" borderId="18" xfId="55" applyFont="1" applyFill="1" applyBorder="1" applyAlignment="1">
      <alignment horizontal="center" vertical="center" wrapText="1"/>
      <protection/>
    </xf>
    <xf numFmtId="0" fontId="4" fillId="0" borderId="11" xfId="55" applyFont="1" applyBorder="1">
      <alignment/>
      <protection/>
    </xf>
    <xf numFmtId="0" fontId="4" fillId="0" borderId="0" xfId="55" applyFont="1">
      <alignment/>
      <protection/>
    </xf>
    <xf numFmtId="0" fontId="5" fillId="0" borderId="22" xfId="55" applyFont="1" applyFill="1" applyBorder="1">
      <alignment/>
      <protection/>
    </xf>
    <xf numFmtId="3" fontId="5" fillId="0" borderId="23" xfId="55" applyNumberFormat="1" applyFont="1" applyFill="1" applyBorder="1">
      <alignment/>
      <protection/>
    </xf>
    <xf numFmtId="0" fontId="5" fillId="0" borderId="23" xfId="55" applyFont="1" applyFill="1" applyBorder="1">
      <alignment/>
      <protection/>
    </xf>
    <xf numFmtId="1" fontId="5" fillId="0" borderId="23" xfId="55" applyNumberFormat="1" applyFont="1" applyFill="1" applyBorder="1">
      <alignment/>
      <protection/>
    </xf>
    <xf numFmtId="9" fontId="4" fillId="0" borderId="23" xfId="55" applyNumberFormat="1" applyFont="1" applyFill="1" applyBorder="1">
      <alignment/>
      <protection/>
    </xf>
    <xf numFmtId="9" fontId="4" fillId="0" borderId="24" xfId="55" applyNumberFormat="1" applyFont="1" applyFill="1" applyBorder="1">
      <alignment/>
      <protection/>
    </xf>
    <xf numFmtId="9" fontId="4" fillId="0" borderId="25" xfId="55" applyNumberFormat="1" applyFont="1" applyFill="1" applyBorder="1">
      <alignment/>
      <protection/>
    </xf>
    <xf numFmtId="0" fontId="4" fillId="0" borderId="13" xfId="55" applyFont="1" applyBorder="1">
      <alignment/>
      <protection/>
    </xf>
    <xf numFmtId="0" fontId="4" fillId="0" borderId="14" xfId="55" applyFont="1" applyBorder="1">
      <alignment/>
      <protection/>
    </xf>
    <xf numFmtId="0" fontId="4" fillId="0" borderId="15" xfId="55" applyFont="1" applyBorder="1">
      <alignment/>
      <protection/>
    </xf>
    <xf numFmtId="0" fontId="5" fillId="0" borderId="13" xfId="55" applyFont="1" applyFill="1" applyBorder="1">
      <alignment/>
      <protection/>
    </xf>
    <xf numFmtId="0" fontId="5" fillId="0" borderId="14" xfId="55" applyFont="1" applyFill="1" applyBorder="1">
      <alignment/>
      <protection/>
    </xf>
    <xf numFmtId="1" fontId="5" fillId="0" borderId="14" xfId="55" applyNumberFormat="1" applyFont="1" applyFill="1" applyBorder="1">
      <alignment/>
      <protection/>
    </xf>
    <xf numFmtId="9" fontId="4" fillId="0" borderId="14" xfId="55" applyNumberFormat="1" applyFont="1" applyFill="1" applyBorder="1">
      <alignment/>
      <protection/>
    </xf>
    <xf numFmtId="9" fontId="4" fillId="0" borderId="15" xfId="55" applyNumberFormat="1" applyFont="1" applyFill="1" applyBorder="1">
      <alignment/>
      <protection/>
    </xf>
    <xf numFmtId="9" fontId="4" fillId="0" borderId="26" xfId="55" applyNumberFormat="1" applyFont="1" applyFill="1" applyBorder="1">
      <alignment/>
      <protection/>
    </xf>
    <xf numFmtId="0" fontId="5" fillId="0" borderId="14" xfId="55" applyFont="1" applyFill="1" applyBorder="1" applyAlignment="1">
      <alignment wrapText="1"/>
      <protection/>
    </xf>
    <xf numFmtId="3" fontId="5" fillId="0" borderId="14" xfId="55" applyNumberFormat="1" applyFont="1" applyFill="1" applyBorder="1">
      <alignment/>
      <protection/>
    </xf>
    <xf numFmtId="0" fontId="5" fillId="0" borderId="27" xfId="55" applyFont="1" applyFill="1" applyBorder="1" applyAlignment="1">
      <alignment wrapText="1"/>
      <protection/>
    </xf>
    <xf numFmtId="3" fontId="5" fillId="0" borderId="27" xfId="55" applyNumberFormat="1" applyFont="1" applyFill="1" applyBorder="1">
      <alignment/>
      <protection/>
    </xf>
    <xf numFmtId="0" fontId="6" fillId="0" borderId="17" xfId="55" applyFont="1" applyFill="1" applyBorder="1">
      <alignment/>
      <protection/>
    </xf>
    <xf numFmtId="3" fontId="6" fillId="0" borderId="18" xfId="55" applyNumberFormat="1" applyFont="1" applyFill="1" applyBorder="1">
      <alignment/>
      <protection/>
    </xf>
    <xf numFmtId="0" fontId="6" fillId="0" borderId="18" xfId="55" applyFont="1" applyFill="1" applyBorder="1">
      <alignment/>
      <protection/>
    </xf>
    <xf numFmtId="9" fontId="3" fillId="0" borderId="18" xfId="55" applyNumberFormat="1" applyFont="1" applyFill="1" applyBorder="1">
      <alignment/>
      <protection/>
    </xf>
    <xf numFmtId="9" fontId="3" fillId="0" borderId="16" xfId="55" applyNumberFormat="1" applyFont="1" applyFill="1" applyBorder="1">
      <alignment/>
      <protection/>
    </xf>
    <xf numFmtId="3" fontId="6" fillId="0" borderId="17" xfId="55" applyNumberFormat="1" applyFont="1" applyFill="1" applyBorder="1">
      <alignment/>
      <protection/>
    </xf>
    <xf numFmtId="9" fontId="3" fillId="0" borderId="28" xfId="55" applyNumberFormat="1" applyFont="1" applyFill="1" applyBorder="1">
      <alignment/>
      <protection/>
    </xf>
    <xf numFmtId="0" fontId="3" fillId="0" borderId="17" xfId="55" applyFont="1" applyFill="1" applyBorder="1">
      <alignment/>
      <protection/>
    </xf>
    <xf numFmtId="0" fontId="3" fillId="0" borderId="16" xfId="55" applyFont="1" applyFill="1" applyBorder="1">
      <alignment/>
      <protection/>
    </xf>
    <xf numFmtId="0" fontId="3" fillId="0" borderId="0" xfId="55" applyFont="1" applyFill="1">
      <alignment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0" fontId="3" fillId="0" borderId="18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5" fillId="0" borderId="27" xfId="55" applyFont="1" applyFill="1" applyBorder="1" applyAlignment="1">
      <alignment horizontal="center"/>
      <protection/>
    </xf>
    <xf numFmtId="0" fontId="5" fillId="0" borderId="23" xfId="55" applyFont="1" applyFill="1" applyBorder="1" applyAlignment="1">
      <alignment horizontal="center"/>
      <protection/>
    </xf>
    <xf numFmtId="9" fontId="4" fillId="0" borderId="27" xfId="55" applyNumberFormat="1" applyFont="1" applyFill="1" applyBorder="1" applyAlignment="1">
      <alignment horizontal="center"/>
      <protection/>
    </xf>
    <xf numFmtId="9" fontId="4" fillId="0" borderId="23" xfId="55" applyNumberFormat="1" applyFont="1" applyFill="1" applyBorder="1" applyAlignment="1">
      <alignment horizontal="center"/>
      <protection/>
    </xf>
    <xf numFmtId="9" fontId="4" fillId="0" borderId="29" xfId="55" applyNumberFormat="1" applyFont="1" applyFill="1" applyBorder="1" applyAlignment="1">
      <alignment horizontal="center"/>
      <protection/>
    </xf>
    <xf numFmtId="9" fontId="4" fillId="0" borderId="24" xfId="55" applyNumberFormat="1" applyFont="1" applyFill="1" applyBorder="1" applyAlignment="1">
      <alignment horizontal="center"/>
      <protection/>
    </xf>
    <xf numFmtId="0" fontId="4" fillId="0" borderId="30" xfId="55" applyFont="1" applyBorder="1" applyAlignment="1">
      <alignment horizontal="right"/>
      <protection/>
    </xf>
    <xf numFmtId="0" fontId="4" fillId="0" borderId="22" xfId="55" applyFont="1" applyBorder="1" applyAlignment="1">
      <alignment horizontal="right"/>
      <protection/>
    </xf>
    <xf numFmtId="0" fontId="4" fillId="0" borderId="27" xfId="55" applyFont="1" applyBorder="1" applyAlignment="1">
      <alignment horizontal="right"/>
      <protection/>
    </xf>
    <xf numFmtId="0" fontId="4" fillId="0" borderId="23" xfId="55" applyFont="1" applyBorder="1" applyAlignment="1">
      <alignment horizontal="right"/>
      <protection/>
    </xf>
    <xf numFmtId="0" fontId="4" fillId="0" borderId="29" xfId="55" applyFont="1" applyBorder="1" applyAlignment="1">
      <alignment horizontal="right"/>
      <protection/>
    </xf>
    <xf numFmtId="0" fontId="4" fillId="0" borderId="24" xfId="55" applyFont="1" applyBorder="1" applyAlignment="1">
      <alignment horizontal="right"/>
      <protection/>
    </xf>
    <xf numFmtId="0" fontId="5" fillId="0" borderId="30" xfId="55" applyFont="1" applyFill="1" applyBorder="1" applyAlignment="1">
      <alignment horizontal="center"/>
      <protection/>
    </xf>
    <xf numFmtId="0" fontId="5" fillId="0" borderId="22" xfId="55" applyFont="1" applyFill="1" applyBorder="1" applyAlignment="1">
      <alignment horizontal="center"/>
      <protection/>
    </xf>
    <xf numFmtId="0" fontId="5" fillId="0" borderId="30" xfId="55" applyFont="1" applyFill="1" applyBorder="1" applyAlignment="1">
      <alignment horizontal="left"/>
      <protection/>
    </xf>
    <xf numFmtId="0" fontId="5" fillId="0" borderId="22" xfId="55" applyFont="1" applyFill="1" applyBorder="1" applyAlignment="1">
      <alignment horizontal="left"/>
      <protection/>
    </xf>
    <xf numFmtId="3" fontId="5" fillId="0" borderId="27" xfId="55" applyNumberFormat="1" applyFont="1" applyFill="1" applyBorder="1" applyAlignment="1">
      <alignment horizontal="right"/>
      <protection/>
    </xf>
    <xf numFmtId="3" fontId="5" fillId="0" borderId="23" xfId="55" applyNumberFormat="1" applyFont="1" applyFill="1" applyBorder="1" applyAlignment="1">
      <alignment horizontal="right"/>
      <protection/>
    </xf>
    <xf numFmtId="1" fontId="5" fillId="0" borderId="27" xfId="55" applyNumberFormat="1" applyFont="1" applyFill="1" applyBorder="1" applyAlignment="1">
      <alignment horizontal="center"/>
      <protection/>
    </xf>
    <xf numFmtId="1" fontId="5" fillId="0" borderId="23" xfId="55" applyNumberFormat="1" applyFont="1" applyFill="1" applyBorder="1" applyAlignment="1">
      <alignment horizontal="center"/>
      <protection/>
    </xf>
    <xf numFmtId="0" fontId="3" fillId="0" borderId="26" xfId="55" applyFont="1" applyFill="1" applyBorder="1" applyAlignment="1">
      <alignment horizontal="center" vertical="center" wrapText="1"/>
      <protection/>
    </xf>
    <xf numFmtId="0" fontId="3" fillId="0" borderId="28" xfId="55" applyFont="1" applyFill="1" applyBorder="1" applyAlignment="1">
      <alignment horizontal="center" vertical="center" wrapText="1"/>
      <protection/>
    </xf>
    <xf numFmtId="0" fontId="3" fillId="0" borderId="13" xfId="55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center"/>
      <protection/>
    </xf>
    <xf numFmtId="0" fontId="3" fillId="0" borderId="31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/>
      <protection/>
    </xf>
    <xf numFmtId="0" fontId="3" fillId="0" borderId="32" xfId="55" applyFont="1" applyFill="1" applyBorder="1" applyAlignment="1">
      <alignment horizontal="center" vertical="center" wrapText="1"/>
      <protection/>
    </xf>
    <xf numFmtId="0" fontId="3" fillId="0" borderId="33" xfId="55" applyFont="1" applyFill="1" applyBorder="1" applyAlignment="1">
      <alignment horizontal="center" vertical="center" wrapText="1"/>
      <protection/>
    </xf>
    <xf numFmtId="0" fontId="3" fillId="0" borderId="34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nda\AppData\Local\Temp\Temp1_sitrup_031011.zip\sitrup_031011\Dollo%20WASH%20update%2010.09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llo Water Profile"/>
      <sheetName val="Dollo Sanitation Profile"/>
    </sheetNames>
    <sheetDataSet>
      <sheetData sheetId="0">
        <row r="5">
          <cell r="C5">
            <v>200</v>
          </cell>
        </row>
        <row r="6">
          <cell r="C6">
            <v>1453</v>
          </cell>
        </row>
        <row r="7">
          <cell r="C7">
            <v>25611</v>
          </cell>
        </row>
        <row r="8">
          <cell r="C8">
            <v>39834</v>
          </cell>
        </row>
        <row r="9">
          <cell r="C9">
            <v>37559</v>
          </cell>
        </row>
        <row r="10">
          <cell r="C10">
            <v>17804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2.00390625" style="1" customWidth="1"/>
    <col min="2" max="2" width="10.8515625" style="1" customWidth="1"/>
    <col min="3" max="4" width="9.140625" style="1" customWidth="1"/>
    <col min="5" max="5" width="10.421875" style="1" bestFit="1" customWidth="1"/>
    <col min="6" max="6" width="9.140625" style="1" customWidth="1"/>
    <col min="7" max="7" width="10.421875" style="1" customWidth="1"/>
    <col min="8" max="8" width="10.140625" style="1" customWidth="1"/>
    <col min="9" max="9" width="9.7109375" style="1" customWidth="1"/>
    <col min="10" max="10" width="9.140625" style="1" customWidth="1"/>
    <col min="11" max="11" width="11.00390625" style="1" customWidth="1"/>
    <col min="12" max="12" width="11.140625" style="1" customWidth="1"/>
    <col min="13" max="13" width="9.140625" style="1" customWidth="1"/>
    <col min="14" max="14" width="11.00390625" style="1" bestFit="1" customWidth="1"/>
    <col min="15" max="16384" width="9.140625" style="1" customWidth="1"/>
  </cols>
  <sheetData>
    <row r="1" spans="1:12" ht="25.5" customHeight="1">
      <c r="A1" s="72" t="s">
        <v>0</v>
      </c>
      <c r="B1" s="66" t="s">
        <v>1</v>
      </c>
      <c r="C1" s="66" t="s">
        <v>21</v>
      </c>
      <c r="D1" s="66" t="s">
        <v>2</v>
      </c>
      <c r="E1" s="66"/>
      <c r="F1" s="66" t="s">
        <v>3</v>
      </c>
      <c r="G1" s="66" t="s">
        <v>4</v>
      </c>
      <c r="H1" s="66" t="s">
        <v>5</v>
      </c>
      <c r="I1" s="66" t="s">
        <v>6</v>
      </c>
      <c r="J1" s="66"/>
      <c r="K1" s="66" t="s">
        <v>7</v>
      </c>
      <c r="L1" s="69" t="s">
        <v>8</v>
      </c>
    </row>
    <row r="2" spans="1:12" ht="15.75" customHeight="1">
      <c r="A2" s="73"/>
      <c r="B2" s="67"/>
      <c r="C2" s="67"/>
      <c r="D2" s="67"/>
      <c r="E2" s="67"/>
      <c r="F2" s="67"/>
      <c r="G2" s="67"/>
      <c r="H2" s="67"/>
      <c r="I2" s="67"/>
      <c r="J2" s="67"/>
      <c r="K2" s="67"/>
      <c r="L2" s="70"/>
    </row>
    <row r="3" spans="1:12" ht="12.75" customHeight="1">
      <c r="A3" s="73"/>
      <c r="B3" s="67"/>
      <c r="C3" s="67"/>
      <c r="D3" s="67" t="s">
        <v>9</v>
      </c>
      <c r="E3" s="67" t="s">
        <v>10</v>
      </c>
      <c r="F3" s="67" t="s">
        <v>11</v>
      </c>
      <c r="G3" s="67"/>
      <c r="H3" s="67"/>
      <c r="I3" s="67" t="s">
        <v>12</v>
      </c>
      <c r="J3" s="67" t="s">
        <v>13</v>
      </c>
      <c r="K3" s="67"/>
      <c r="L3" s="70"/>
    </row>
    <row r="4" spans="1:12" ht="39.75" customHeight="1" thickBot="1">
      <c r="A4" s="74"/>
      <c r="B4" s="68"/>
      <c r="C4" s="68"/>
      <c r="D4" s="68"/>
      <c r="E4" s="68"/>
      <c r="F4" s="68"/>
      <c r="G4" s="68"/>
      <c r="H4" s="68"/>
      <c r="I4" s="68"/>
      <c r="J4" s="68"/>
      <c r="K4" s="68"/>
      <c r="L4" s="71"/>
    </row>
    <row r="5" spans="1:12" ht="12.75" thickBot="1">
      <c r="A5" s="2" t="s">
        <v>14</v>
      </c>
      <c r="B5" s="3">
        <f>'[1]Dollo Water Profile'!$C$5</f>
        <v>200</v>
      </c>
      <c r="C5" s="3">
        <v>3</v>
      </c>
      <c r="D5" s="4">
        <v>15</v>
      </c>
      <c r="E5" s="5">
        <f aca="true" t="shared" si="0" ref="E5:E10">(C5/B5)*1000</f>
        <v>15</v>
      </c>
      <c r="F5" s="6">
        <v>0</v>
      </c>
      <c r="G5" s="4">
        <v>1</v>
      </c>
      <c r="H5" s="7">
        <f aca="true" t="shared" si="1" ref="H5:H11">(J5*250)/B5</f>
        <v>7.5</v>
      </c>
      <c r="I5" s="4">
        <v>2</v>
      </c>
      <c r="J5" s="4">
        <f aca="true" t="shared" si="2" ref="J5:J10">G5*6</f>
        <v>6</v>
      </c>
      <c r="K5" s="4">
        <v>0</v>
      </c>
      <c r="L5" s="8">
        <v>0</v>
      </c>
    </row>
    <row r="6" spans="1:12" ht="12.75" thickBot="1">
      <c r="A6" s="9" t="s">
        <v>15</v>
      </c>
      <c r="B6" s="10">
        <f>'[1]Dollo Water Profile'!$C$6</f>
        <v>1453</v>
      </c>
      <c r="C6" s="10">
        <v>33</v>
      </c>
      <c r="D6" s="11">
        <v>15</v>
      </c>
      <c r="E6" s="12">
        <f t="shared" si="0"/>
        <v>22.711631108052305</v>
      </c>
      <c r="F6" s="13">
        <v>0</v>
      </c>
      <c r="G6" s="11">
        <v>5</v>
      </c>
      <c r="H6" s="14">
        <f t="shared" si="1"/>
        <v>5.161734342739161</v>
      </c>
      <c r="I6" s="11">
        <f>B6/250</f>
        <v>5.812</v>
      </c>
      <c r="J6" s="11">
        <f t="shared" si="2"/>
        <v>30</v>
      </c>
      <c r="K6" s="4">
        <v>0</v>
      </c>
      <c r="L6" s="15">
        <v>0</v>
      </c>
    </row>
    <row r="7" spans="1:12" ht="12.75" thickBot="1">
      <c r="A7" s="9" t="s">
        <v>16</v>
      </c>
      <c r="B7" s="10">
        <f>'[1]Dollo Water Profile'!$C$7</f>
        <v>25611</v>
      </c>
      <c r="C7" s="10">
        <v>381</v>
      </c>
      <c r="D7" s="11">
        <v>15</v>
      </c>
      <c r="E7" s="12">
        <f t="shared" si="0"/>
        <v>14.876420288157432</v>
      </c>
      <c r="F7" s="13">
        <v>0</v>
      </c>
      <c r="G7" s="11">
        <v>25</v>
      </c>
      <c r="H7" s="14">
        <f t="shared" si="1"/>
        <v>1.4642145952910859</v>
      </c>
      <c r="I7" s="11">
        <f>B7/250</f>
        <v>102.444</v>
      </c>
      <c r="J7" s="11">
        <f t="shared" si="2"/>
        <v>150</v>
      </c>
      <c r="K7" s="4">
        <v>0</v>
      </c>
      <c r="L7" s="16">
        <v>0</v>
      </c>
    </row>
    <row r="8" spans="1:12" ht="12.75" thickBot="1">
      <c r="A8" s="9" t="s">
        <v>17</v>
      </c>
      <c r="B8" s="10">
        <f>'[1]Dollo Water Profile'!$C$8</f>
        <v>39834</v>
      </c>
      <c r="C8" s="10">
        <v>410</v>
      </c>
      <c r="D8" s="11">
        <v>15</v>
      </c>
      <c r="E8" s="12">
        <f t="shared" si="0"/>
        <v>10.292714766280062</v>
      </c>
      <c r="F8" s="13">
        <f>(B8*D8)/1000-C8</f>
        <v>187.51</v>
      </c>
      <c r="G8" s="11">
        <v>29</v>
      </c>
      <c r="H8" s="14">
        <f t="shared" si="1"/>
        <v>1.092031932519958</v>
      </c>
      <c r="I8" s="11">
        <f>B8/250</f>
        <v>159.336</v>
      </c>
      <c r="J8" s="11">
        <f t="shared" si="2"/>
        <v>174</v>
      </c>
      <c r="K8" s="4">
        <v>0</v>
      </c>
      <c r="L8" s="15">
        <v>0</v>
      </c>
    </row>
    <row r="9" spans="1:12" ht="12.75" thickBot="1">
      <c r="A9" s="9" t="s">
        <v>18</v>
      </c>
      <c r="B9" s="10">
        <f>'[1]Dollo Water Profile'!$C$9</f>
        <v>37559</v>
      </c>
      <c r="C9" s="10">
        <v>364</v>
      </c>
      <c r="D9" s="11">
        <v>15</v>
      </c>
      <c r="E9" s="12">
        <f t="shared" si="0"/>
        <v>9.691418834367264</v>
      </c>
      <c r="F9" s="13">
        <f>(B9*D9)/1000-C9</f>
        <v>199.385</v>
      </c>
      <c r="G9" s="11">
        <v>20</v>
      </c>
      <c r="H9" s="14">
        <f t="shared" si="1"/>
        <v>0.7987433105247743</v>
      </c>
      <c r="I9" s="11">
        <f>B9/250</f>
        <v>150.236</v>
      </c>
      <c r="J9" s="11">
        <f t="shared" si="2"/>
        <v>120</v>
      </c>
      <c r="K9" s="4">
        <f>I9-J9</f>
        <v>30.23599999999999</v>
      </c>
      <c r="L9" s="17">
        <v>4</v>
      </c>
    </row>
    <row r="10" spans="1:12" ht="12.75" thickBot="1">
      <c r="A10" s="18" t="s">
        <v>19</v>
      </c>
      <c r="B10" s="19">
        <f>'[1]Dollo Water Profile'!$C$10</f>
        <v>17804</v>
      </c>
      <c r="C10" s="19">
        <v>280</v>
      </c>
      <c r="D10" s="20">
        <v>15</v>
      </c>
      <c r="E10" s="21">
        <f t="shared" si="0"/>
        <v>15.726802965625703</v>
      </c>
      <c r="F10" s="22">
        <v>0</v>
      </c>
      <c r="G10" s="20">
        <v>9</v>
      </c>
      <c r="H10" s="23">
        <f t="shared" si="1"/>
        <v>0.7582565715569535</v>
      </c>
      <c r="I10" s="20">
        <f>B10/250</f>
        <v>71.216</v>
      </c>
      <c r="J10" s="20">
        <f t="shared" si="2"/>
        <v>54</v>
      </c>
      <c r="K10" s="4">
        <f>I10-J10</f>
        <v>17.215999999999994</v>
      </c>
      <c r="L10" s="17">
        <v>4</v>
      </c>
    </row>
    <row r="11" spans="1:12" s="30" customFormat="1" ht="15.75" customHeight="1" thickBot="1">
      <c r="A11" s="24" t="s">
        <v>20</v>
      </c>
      <c r="B11" s="25">
        <f>SUM(B5:B9)</f>
        <v>104657</v>
      </c>
      <c r="C11" s="25">
        <f>SUM(C5:C10)</f>
        <v>1471</v>
      </c>
      <c r="D11" s="26"/>
      <c r="E11" s="27">
        <f>(C11*1000)/B11</f>
        <v>14.05543824111144</v>
      </c>
      <c r="F11" s="26">
        <f>SUM(F5:F10)</f>
        <v>386.895</v>
      </c>
      <c r="G11" s="26">
        <f>SUM(G5:G10)</f>
        <v>89</v>
      </c>
      <c r="H11" s="28">
        <f t="shared" si="1"/>
        <v>1.2755955167833972</v>
      </c>
      <c r="I11" s="26">
        <f>SUM(I5:I10)</f>
        <v>491.044</v>
      </c>
      <c r="J11" s="26">
        <f>SUM(J5:J10)</f>
        <v>534</v>
      </c>
      <c r="K11" s="26">
        <f>SUM(K5:K10)</f>
        <v>47.451999999999984</v>
      </c>
      <c r="L11" s="29">
        <f>SUM(L5:L10)</f>
        <v>8</v>
      </c>
    </row>
    <row r="17" ht="12">
      <c r="N17" s="31"/>
    </row>
  </sheetData>
  <sheetProtection/>
  <mergeCells count="15">
    <mergeCell ref="A1:A4"/>
    <mergeCell ref="B1:B4"/>
    <mergeCell ref="C1:C4"/>
    <mergeCell ref="D1:E2"/>
    <mergeCell ref="D3:D4"/>
    <mergeCell ref="E3:E4"/>
    <mergeCell ref="K1:K4"/>
    <mergeCell ref="L1:L4"/>
    <mergeCell ref="J3:J4"/>
    <mergeCell ref="F3:F4"/>
    <mergeCell ref="I3:I4"/>
    <mergeCell ref="G1:G4"/>
    <mergeCell ref="F1:F2"/>
    <mergeCell ref="H1:H4"/>
    <mergeCell ref="I1:J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1">
      <selection activeCell="C14" sqref="C14"/>
    </sheetView>
  </sheetViews>
  <sheetFormatPr defaultColWidth="8.28125" defaultRowHeight="15"/>
  <cols>
    <col min="1" max="2" width="9.7109375" style="35" customWidth="1"/>
    <col min="3" max="3" width="9.28125" style="35" customWidth="1"/>
    <col min="4" max="4" width="7.421875" style="35" customWidth="1"/>
    <col min="5" max="5" width="8.28125" style="35" customWidth="1"/>
    <col min="6" max="6" width="13.28125" style="35" hidden="1" customWidth="1"/>
    <col min="7" max="7" width="9.57421875" style="35" hidden="1" customWidth="1"/>
    <col min="8" max="8" width="9.28125" style="35" customWidth="1"/>
    <col min="9" max="9" width="11.00390625" style="35" customWidth="1"/>
    <col min="10" max="10" width="7.57421875" style="35" customWidth="1"/>
    <col min="11" max="11" width="8.7109375" style="35" customWidth="1"/>
    <col min="12" max="12" width="11.57421875" style="35" customWidth="1"/>
    <col min="13" max="13" width="10.28125" style="35" customWidth="1"/>
    <col min="14" max="14" width="9.7109375" style="35" customWidth="1"/>
    <col min="15" max="15" width="13.00390625" style="35" hidden="1" customWidth="1"/>
    <col min="16" max="16" width="11.7109375" style="35" hidden="1" customWidth="1"/>
    <col min="17" max="17" width="10.421875" style="35" hidden="1" customWidth="1"/>
    <col min="18" max="18" width="10.7109375" style="35" hidden="1" customWidth="1"/>
    <col min="19" max="19" width="6.8515625" style="35" customWidth="1"/>
    <col min="20" max="20" width="6.421875" style="35" customWidth="1"/>
    <col min="21" max="16384" width="8.28125" style="35" customWidth="1"/>
  </cols>
  <sheetData>
    <row r="1" spans="1:21" ht="15.75" customHeight="1">
      <c r="A1" s="72" t="s">
        <v>22</v>
      </c>
      <c r="B1" s="66" t="s">
        <v>1</v>
      </c>
      <c r="C1" s="66" t="s">
        <v>23</v>
      </c>
      <c r="D1" s="104" t="s">
        <v>24</v>
      </c>
      <c r="E1" s="66" t="s">
        <v>25</v>
      </c>
      <c r="F1" s="34"/>
      <c r="G1" s="66" t="s">
        <v>26</v>
      </c>
      <c r="H1" s="66" t="s">
        <v>27</v>
      </c>
      <c r="I1" s="66" t="s">
        <v>2</v>
      </c>
      <c r="J1" s="66"/>
      <c r="K1" s="100" t="s">
        <v>28</v>
      </c>
      <c r="L1" s="100"/>
      <c r="M1" s="100"/>
      <c r="N1" s="100"/>
      <c r="O1" s="100" t="s">
        <v>29</v>
      </c>
      <c r="P1" s="100"/>
      <c r="Q1" s="100"/>
      <c r="R1" s="101"/>
      <c r="S1" s="102" t="s">
        <v>30</v>
      </c>
      <c r="T1" s="100"/>
      <c r="U1" s="103"/>
    </row>
    <row r="2" spans="1:21" s="1" customFormat="1" ht="75.75" customHeight="1">
      <c r="A2" s="73"/>
      <c r="B2" s="67"/>
      <c r="C2" s="67"/>
      <c r="D2" s="105"/>
      <c r="E2" s="67"/>
      <c r="F2" s="32" t="s">
        <v>31</v>
      </c>
      <c r="G2" s="67"/>
      <c r="H2" s="67"/>
      <c r="I2" s="67"/>
      <c r="J2" s="67"/>
      <c r="K2" s="67" t="s">
        <v>32</v>
      </c>
      <c r="L2" s="67" t="s">
        <v>33</v>
      </c>
      <c r="M2" s="67" t="s">
        <v>34</v>
      </c>
      <c r="N2" s="67" t="s">
        <v>35</v>
      </c>
      <c r="O2" s="67" t="s">
        <v>36</v>
      </c>
      <c r="P2" s="67" t="s">
        <v>37</v>
      </c>
      <c r="Q2" s="67" t="s">
        <v>34</v>
      </c>
      <c r="R2" s="95" t="s">
        <v>35</v>
      </c>
      <c r="S2" s="97" t="s">
        <v>38</v>
      </c>
      <c r="T2" s="98" t="s">
        <v>39</v>
      </c>
      <c r="U2" s="99" t="s">
        <v>40</v>
      </c>
    </row>
    <row r="3" spans="1:21" s="1" customFormat="1" ht="36.75" thickBot="1">
      <c r="A3" s="74"/>
      <c r="B3" s="68"/>
      <c r="C3" s="68"/>
      <c r="D3" s="106"/>
      <c r="E3" s="68"/>
      <c r="F3" s="33"/>
      <c r="G3" s="68"/>
      <c r="H3" s="68"/>
      <c r="I3" s="33" t="s">
        <v>41</v>
      </c>
      <c r="J3" s="33" t="s">
        <v>42</v>
      </c>
      <c r="K3" s="68"/>
      <c r="L3" s="68"/>
      <c r="M3" s="68"/>
      <c r="N3" s="68"/>
      <c r="O3" s="68"/>
      <c r="P3" s="68"/>
      <c r="Q3" s="68"/>
      <c r="R3" s="96"/>
      <c r="S3" s="97"/>
      <c r="T3" s="98"/>
      <c r="U3" s="99"/>
    </row>
    <row r="4" spans="1:21" ht="12">
      <c r="A4" s="36" t="s">
        <v>14</v>
      </c>
      <c r="B4" s="37">
        <v>200</v>
      </c>
      <c r="C4" s="38" t="s">
        <v>43</v>
      </c>
      <c r="D4" s="38">
        <v>3</v>
      </c>
      <c r="E4" s="38">
        <v>30</v>
      </c>
      <c r="F4" s="38"/>
      <c r="G4" s="38"/>
      <c r="H4" s="38">
        <v>0</v>
      </c>
      <c r="I4" s="38">
        <v>50</v>
      </c>
      <c r="J4" s="39">
        <f>B4/E4</f>
        <v>6.666666666666667</v>
      </c>
      <c r="K4" s="38">
        <v>0</v>
      </c>
      <c r="L4" s="38">
        <v>0</v>
      </c>
      <c r="M4" s="40">
        <f>(E4*I4)/B4</f>
        <v>7.5</v>
      </c>
      <c r="N4" s="41">
        <f aca="true" t="shared" si="0" ref="N4:N11">I4*(H4+E4)/B4</f>
        <v>7.5</v>
      </c>
      <c r="O4" s="36">
        <v>0</v>
      </c>
      <c r="P4" s="38">
        <v>0</v>
      </c>
      <c r="Q4" s="40">
        <f aca="true" t="shared" si="1" ref="Q4:Q9">E4*20/B4</f>
        <v>3</v>
      </c>
      <c r="R4" s="42">
        <f aca="true" t="shared" si="2" ref="R4:R11">(E4+H4)*20/B4</f>
        <v>3</v>
      </c>
      <c r="S4" s="43">
        <f aca="true" t="shared" si="3" ref="S4:S9">B4/500</f>
        <v>0.4</v>
      </c>
      <c r="T4" s="44"/>
      <c r="U4" s="45"/>
    </row>
    <row r="5" spans="1:21" ht="12">
      <c r="A5" s="46" t="s">
        <v>15</v>
      </c>
      <c r="B5" s="37">
        <v>1453</v>
      </c>
      <c r="C5" s="47" t="s">
        <v>43</v>
      </c>
      <c r="D5" s="47">
        <v>10</v>
      </c>
      <c r="E5" s="47">
        <v>80</v>
      </c>
      <c r="F5" s="47"/>
      <c r="G5" s="47"/>
      <c r="H5" s="47">
        <v>0</v>
      </c>
      <c r="I5" s="47">
        <v>50</v>
      </c>
      <c r="J5" s="48">
        <f>B5/E5</f>
        <v>18.1625</v>
      </c>
      <c r="K5" s="47">
        <f>(B5/I5)-E5</f>
        <v>-50.94</v>
      </c>
      <c r="L5" s="47">
        <v>0</v>
      </c>
      <c r="M5" s="49">
        <f aca="true" t="shared" si="4" ref="M5:M11">(I5*E5)/B5</f>
        <v>2.752924982794219</v>
      </c>
      <c r="N5" s="50">
        <f t="shared" si="0"/>
        <v>2.752924982794219</v>
      </c>
      <c r="O5" s="46">
        <v>0</v>
      </c>
      <c r="P5" s="47">
        <v>0</v>
      </c>
      <c r="Q5" s="40">
        <f t="shared" si="1"/>
        <v>1.1011699931176875</v>
      </c>
      <c r="R5" s="51">
        <f t="shared" si="2"/>
        <v>1.1011699931176875</v>
      </c>
      <c r="S5" s="43">
        <f t="shared" si="3"/>
        <v>2.906</v>
      </c>
      <c r="T5" s="44">
        <v>10</v>
      </c>
      <c r="U5" s="45">
        <f>S5-T5</f>
        <v>-7.093999999999999</v>
      </c>
    </row>
    <row r="6" spans="1:21" ht="24">
      <c r="A6" s="46" t="s">
        <v>44</v>
      </c>
      <c r="B6" s="37">
        <v>25611</v>
      </c>
      <c r="C6" s="52" t="s">
        <v>45</v>
      </c>
      <c r="D6" s="52">
        <v>315</v>
      </c>
      <c r="E6" s="47">
        <v>524</v>
      </c>
      <c r="F6" s="47"/>
      <c r="G6" s="47">
        <v>155</v>
      </c>
      <c r="H6" s="47">
        <v>37</v>
      </c>
      <c r="I6" s="47">
        <v>50</v>
      </c>
      <c r="J6" s="48">
        <f>B6/E6</f>
        <v>48.87595419847328</v>
      </c>
      <c r="K6" s="47">
        <f>(B6/I6)-E6</f>
        <v>-11.779999999999973</v>
      </c>
      <c r="L6" s="47">
        <f>(B6/I6)-(E6+H6)</f>
        <v>-48.77999999999997</v>
      </c>
      <c r="M6" s="49">
        <f t="shared" si="4"/>
        <v>1.0229979305767054</v>
      </c>
      <c r="N6" s="50">
        <f t="shared" si="0"/>
        <v>1.0952325172777322</v>
      </c>
      <c r="O6" s="46">
        <f>B6/20-E6</f>
        <v>756.55</v>
      </c>
      <c r="P6" s="47">
        <f>(B6/20)-(E6+H6)</f>
        <v>719.55</v>
      </c>
      <c r="Q6" s="40">
        <f t="shared" si="1"/>
        <v>0.40919917223068214</v>
      </c>
      <c r="R6" s="51">
        <f t="shared" si="2"/>
        <v>0.4380930069110929</v>
      </c>
      <c r="S6" s="43">
        <f t="shared" si="3"/>
        <v>51.222</v>
      </c>
      <c r="T6" s="44">
        <v>28</v>
      </c>
      <c r="U6" s="45">
        <f>S6-T6</f>
        <v>23.222</v>
      </c>
    </row>
    <row r="7" spans="1:21" ht="24">
      <c r="A7" s="46" t="s">
        <v>17</v>
      </c>
      <c r="B7" s="37">
        <v>39834</v>
      </c>
      <c r="C7" s="52" t="s">
        <v>45</v>
      </c>
      <c r="D7" s="52">
        <v>71</v>
      </c>
      <c r="E7" s="47">
        <v>71</v>
      </c>
      <c r="F7" s="47"/>
      <c r="G7" s="47"/>
      <c r="H7" s="47">
        <v>1005</v>
      </c>
      <c r="I7" s="47">
        <v>50</v>
      </c>
      <c r="J7" s="48">
        <f>B7/E7</f>
        <v>561.0422535211268</v>
      </c>
      <c r="K7" s="47">
        <f>(B7/I7)-E7</f>
        <v>725.68</v>
      </c>
      <c r="L7" s="47">
        <v>0</v>
      </c>
      <c r="M7" s="49">
        <f t="shared" si="4"/>
        <v>0.08911984736657128</v>
      </c>
      <c r="N7" s="50">
        <f t="shared" si="0"/>
        <v>1.3506050107947984</v>
      </c>
      <c r="O7" s="46">
        <f>B7/20-E7</f>
        <v>1920.7</v>
      </c>
      <c r="P7" s="47">
        <f>(B7/20)-(E7+H7)</f>
        <v>915.7</v>
      </c>
      <c r="Q7" s="40">
        <f t="shared" si="1"/>
        <v>0.03564793894662851</v>
      </c>
      <c r="R7" s="51">
        <f t="shared" si="2"/>
        <v>0.5402420043179194</v>
      </c>
      <c r="S7" s="43">
        <f t="shared" si="3"/>
        <v>79.668</v>
      </c>
      <c r="T7" s="44">
        <v>62</v>
      </c>
      <c r="U7" s="45">
        <f>S7-T7</f>
        <v>17.668000000000006</v>
      </c>
    </row>
    <row r="8" spans="1:21" ht="42" customHeight="1">
      <c r="A8" s="46" t="s">
        <v>18</v>
      </c>
      <c r="B8" s="37">
        <v>37559</v>
      </c>
      <c r="C8" s="52" t="s">
        <v>45</v>
      </c>
      <c r="D8" s="52">
        <v>310</v>
      </c>
      <c r="E8" s="47">
        <v>454</v>
      </c>
      <c r="F8" s="52" t="s">
        <v>46</v>
      </c>
      <c r="G8" s="52"/>
      <c r="H8" s="53">
        <v>1072</v>
      </c>
      <c r="I8" s="47">
        <v>50</v>
      </c>
      <c r="J8" s="48">
        <f>B8/E8</f>
        <v>82.72907488986785</v>
      </c>
      <c r="K8" s="47">
        <f>(B8/I8)-E8</f>
        <v>297.17999999999995</v>
      </c>
      <c r="L8" s="47">
        <v>0</v>
      </c>
      <c r="M8" s="49">
        <f t="shared" si="4"/>
        <v>0.6043824382970793</v>
      </c>
      <c r="N8" s="50">
        <f t="shared" si="0"/>
        <v>2.031470486434676</v>
      </c>
      <c r="O8" s="46">
        <f>B8/20-E8</f>
        <v>1423.95</v>
      </c>
      <c r="P8" s="47">
        <f>(B8/20)-(E8+H8)</f>
        <v>351.95000000000005</v>
      </c>
      <c r="Q8" s="40">
        <f t="shared" si="1"/>
        <v>0.2417529753188317</v>
      </c>
      <c r="R8" s="51">
        <f t="shared" si="2"/>
        <v>0.8125881945738704</v>
      </c>
      <c r="S8" s="43">
        <f t="shared" si="3"/>
        <v>75.118</v>
      </c>
      <c r="T8" s="44">
        <v>62</v>
      </c>
      <c r="U8" s="45">
        <f>S8-T8</f>
        <v>13.117999999999995</v>
      </c>
    </row>
    <row r="9" spans="1:21" ht="24">
      <c r="A9" s="89" t="s">
        <v>47</v>
      </c>
      <c r="B9" s="91">
        <v>17804</v>
      </c>
      <c r="C9" s="52" t="s">
        <v>48</v>
      </c>
      <c r="D9" s="52">
        <v>20</v>
      </c>
      <c r="E9" s="75">
        <f>D9+(D10*4)</f>
        <v>140</v>
      </c>
      <c r="F9" s="52"/>
      <c r="G9" s="52"/>
      <c r="H9" s="53">
        <v>60</v>
      </c>
      <c r="I9" s="75">
        <v>50</v>
      </c>
      <c r="J9" s="93">
        <f>(B9+B10)/E9</f>
        <v>127.17142857142858</v>
      </c>
      <c r="K9" s="75">
        <f>((B9+B10)/I9)-(E9+E10)</f>
        <v>216.07999999999998</v>
      </c>
      <c r="L9" s="75">
        <f>(B9/I9)-((E9+E10+H9))</f>
        <v>156.07999999999998</v>
      </c>
      <c r="M9" s="77">
        <f>(I9*(E9+E10)/B9)</f>
        <v>0.39317007414064253</v>
      </c>
      <c r="N9" s="79">
        <f>I9*(H9+(E9+E10))/B9</f>
        <v>0.5616715344866322</v>
      </c>
      <c r="O9" s="87">
        <f>B9/20-E9</f>
        <v>750.2</v>
      </c>
      <c r="P9" s="75">
        <f>(B9/20)-(E9+H9)</f>
        <v>690.2</v>
      </c>
      <c r="Q9" s="77">
        <f t="shared" si="1"/>
        <v>0.15726802965625702</v>
      </c>
      <c r="R9" s="79">
        <f t="shared" si="2"/>
        <v>0.2246686137946529</v>
      </c>
      <c r="S9" s="81">
        <f t="shared" si="3"/>
        <v>35.608</v>
      </c>
      <c r="T9" s="83">
        <v>14</v>
      </c>
      <c r="U9" s="85">
        <f>S9-T9</f>
        <v>21.607999999999997</v>
      </c>
    </row>
    <row r="10" spans="1:21" ht="12">
      <c r="A10" s="90"/>
      <c r="B10" s="92"/>
      <c r="C10" s="54" t="s">
        <v>49</v>
      </c>
      <c r="D10" s="54">
        <v>30</v>
      </c>
      <c r="E10" s="76"/>
      <c r="F10" s="54"/>
      <c r="G10" s="54"/>
      <c r="H10" s="55">
        <v>36</v>
      </c>
      <c r="I10" s="76"/>
      <c r="J10" s="94"/>
      <c r="K10" s="76"/>
      <c r="L10" s="76"/>
      <c r="M10" s="78"/>
      <c r="N10" s="80"/>
      <c r="O10" s="88"/>
      <c r="P10" s="76"/>
      <c r="Q10" s="78"/>
      <c r="R10" s="80"/>
      <c r="S10" s="82"/>
      <c r="T10" s="84"/>
      <c r="U10" s="86"/>
    </row>
    <row r="11" spans="1:21" s="65" customFormat="1" ht="12.75" thickBot="1">
      <c r="A11" s="56" t="s">
        <v>20</v>
      </c>
      <c r="B11" s="57">
        <f>SUM(B4:B8)</f>
        <v>104657</v>
      </c>
      <c r="C11" s="58"/>
      <c r="D11" s="58"/>
      <c r="E11" s="57">
        <f>SUM(E4:E8)</f>
        <v>1159</v>
      </c>
      <c r="F11" s="58"/>
      <c r="G11" s="58"/>
      <c r="H11" s="57">
        <f>SUM(H4:H10)</f>
        <v>2210</v>
      </c>
      <c r="I11" s="58">
        <v>50</v>
      </c>
      <c r="J11" s="57">
        <f>SUM(J4:J8)</f>
        <v>717.4764492761346</v>
      </c>
      <c r="K11" s="57">
        <f>SUM(K4:K8)</f>
        <v>960.14</v>
      </c>
      <c r="L11" s="57">
        <f>SUM(L4:L8)</f>
        <v>-48.77999999999997</v>
      </c>
      <c r="M11" s="59">
        <f t="shared" si="4"/>
        <v>0.5537135595325683</v>
      </c>
      <c r="N11" s="60">
        <f t="shared" si="0"/>
        <v>1.6095435565705112</v>
      </c>
      <c r="O11" s="61">
        <f>SUM(O4:O8)</f>
        <v>4101.2</v>
      </c>
      <c r="P11" s="57">
        <f>SUM(P4:P8)</f>
        <v>1987.2</v>
      </c>
      <c r="Q11" s="59">
        <f>(M11*J11)/H11</f>
        <v>0.17976309439342839</v>
      </c>
      <c r="R11" s="62">
        <f t="shared" si="2"/>
        <v>0.6438174226282045</v>
      </c>
      <c r="S11" s="63"/>
      <c r="T11" s="64">
        <f>SUM(T5:T9)</f>
        <v>176</v>
      </c>
      <c r="U11" s="64">
        <f>SUM(U5:U9)</f>
        <v>68.52199999999999</v>
      </c>
    </row>
  </sheetData>
  <sheetProtection/>
  <mergeCells count="38">
    <mergeCell ref="G1:G3"/>
    <mergeCell ref="A1:A3"/>
    <mergeCell ref="B1:B3"/>
    <mergeCell ref="C1:C3"/>
    <mergeCell ref="D1:D3"/>
    <mergeCell ref="E1:E3"/>
    <mergeCell ref="T2:T3"/>
    <mergeCell ref="U2:U3"/>
    <mergeCell ref="H1:H3"/>
    <mergeCell ref="I1:J2"/>
    <mergeCell ref="K1:N1"/>
    <mergeCell ref="O1:R1"/>
    <mergeCell ref="S1:U1"/>
    <mergeCell ref="K2:K3"/>
    <mergeCell ref="L2:L3"/>
    <mergeCell ref="M2:M3"/>
    <mergeCell ref="O2:O3"/>
    <mergeCell ref="P2:P3"/>
    <mergeCell ref="K9:K10"/>
    <mergeCell ref="Q2:Q3"/>
    <mergeCell ref="N2:N3"/>
    <mergeCell ref="R2:R3"/>
    <mergeCell ref="S2:S3"/>
    <mergeCell ref="A9:A10"/>
    <mergeCell ref="B9:B10"/>
    <mergeCell ref="I9:I10"/>
    <mergeCell ref="J9:J10"/>
    <mergeCell ref="E9:E10"/>
    <mergeCell ref="U9:U10"/>
    <mergeCell ref="O9:O10"/>
    <mergeCell ref="P9:P10"/>
    <mergeCell ref="Q9:Q10"/>
    <mergeCell ref="R9:R10"/>
    <mergeCell ref="L9:L10"/>
    <mergeCell ref="M9:M10"/>
    <mergeCell ref="N9:N10"/>
    <mergeCell ref="S9:S10"/>
    <mergeCell ref="T9:T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UNHCR_WASH</dc:creator>
  <cp:keywords/>
  <dc:description/>
  <cp:lastModifiedBy>Linda</cp:lastModifiedBy>
  <dcterms:created xsi:type="dcterms:W3CDTF">2011-09-04T14:10:32Z</dcterms:created>
  <dcterms:modified xsi:type="dcterms:W3CDTF">2011-10-09T15:49:13Z</dcterms:modified>
  <cp:category/>
  <cp:version/>
  <cp:contentType/>
  <cp:contentStatus/>
</cp:coreProperties>
</file>